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27"/>
  </bookViews>
  <sheets>
    <sheet name="Исходные данные" sheetId="1" r:id="rId1"/>
    <sheet name="Расчет поправочного коэф" sheetId="2" r:id="rId2"/>
    <sheet name="Расчет 2022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2022'!$A$7:$FT$20</definedName>
    <definedName name="Excel_BuiltIn__FilterDatabase" localSheetId="2">'Расчет 2022'!$A$7:$FT$54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2022'!$A$7:$FT$54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2022'!$A$1:$FP$20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2022'!$A:$A</definedName>
    <definedName name="_xlnm.Print_Titles" localSheetId="0">'Исходные данные'!$6:$10</definedName>
    <definedName name="_xlnm.Print_Titles" localSheetId="2">'Расчет 2022'!$A:$A</definedName>
    <definedName name="_xlnm.Print_Area" localSheetId="0">'Исходные данные'!$A$1:$I$24</definedName>
    <definedName name="_xlnm.Print_Area" localSheetId="2">'Расчет 2022'!$A$1:$FU$22</definedName>
    <definedName name="_xlnm.Print_Area" localSheetId="1">'Расчет поправочного коэф'!$A$1:$G$22</definedName>
  </definedNames>
  <calcPr calcId="145621"/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G20" i="2" l="1"/>
  <c r="G19" i="2"/>
  <c r="G18" i="2"/>
  <c r="G17" i="2"/>
  <c r="G16" i="2"/>
  <c r="G15" i="2"/>
  <c r="G14" i="2"/>
  <c r="G13" i="2"/>
  <c r="G12" i="2"/>
  <c r="G10" i="2"/>
  <c r="D20" i="2"/>
  <c r="D19" i="2"/>
  <c r="D18" i="2"/>
  <c r="D17" i="2"/>
  <c r="D16" i="2"/>
  <c r="D15" i="2"/>
  <c r="D14" i="2"/>
  <c r="D13" i="2"/>
  <c r="D12" i="2"/>
  <c r="D11" i="2"/>
  <c r="D10" i="2"/>
  <c r="C20" i="2"/>
  <c r="C19" i="2"/>
  <c r="C18" i="2"/>
  <c r="C17" i="2"/>
  <c r="C16" i="2"/>
  <c r="C15" i="2"/>
  <c r="C14" i="2"/>
  <c r="C13" i="2"/>
  <c r="C12" i="2"/>
  <c r="C11" i="2"/>
  <c r="G11" i="2" s="1"/>
  <c r="C10" i="2"/>
  <c r="H22" i="1" l="1"/>
  <c r="FQ10" i="4" l="1"/>
  <c r="FQ11" i="4"/>
  <c r="FQ12" i="4"/>
  <c r="FQ13" i="4"/>
  <c r="FQ14" i="4"/>
  <c r="FQ15" i="4"/>
  <c r="FQ16" i="4"/>
  <c r="FQ17" i="4"/>
  <c r="FQ18" i="4"/>
  <c r="FQ19" i="4"/>
  <c r="FQ9" i="4"/>
  <c r="FQ20" i="4" l="1"/>
  <c r="I22" i="1" l="1"/>
  <c r="B9" i="1" l="1"/>
  <c r="C22" i="1"/>
  <c r="D22" i="1"/>
  <c r="E22" i="1"/>
  <c r="B7" i="4"/>
  <c r="C7" i="4" s="1"/>
  <c r="D7" i="4" s="1"/>
  <c r="E7" i="4" s="1"/>
  <c r="F7" i="4" s="1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D20" i="4"/>
  <c r="F20" i="4" s="1"/>
  <c r="E20" i="4"/>
  <c r="B8" i="2"/>
  <c r="A12" i="2"/>
  <c r="A13" i="2" s="1"/>
  <c r="A14" i="2" s="1"/>
  <c r="A15" i="2" s="1"/>
  <c r="A16" i="2" s="1"/>
  <c r="A17" i="2" s="1"/>
  <c r="C8" i="2" l="1"/>
  <c r="D8" i="2" s="1"/>
  <c r="E8" i="2" s="1"/>
  <c r="F8" i="2" s="1"/>
  <c r="G8" i="2" s="1"/>
  <c r="C9" i="1"/>
  <c r="D9" i="1" s="1"/>
  <c r="G7" i="4"/>
  <c r="H7" i="4" s="1"/>
  <c r="H20" i="4"/>
  <c r="G20" i="4"/>
  <c r="J17" i="4" s="1"/>
  <c r="E9" i="1" l="1"/>
  <c r="F9" i="1" s="1"/>
  <c r="G9" i="1" s="1"/>
  <c r="H9" i="1" s="1"/>
  <c r="I9" i="1" s="1"/>
  <c r="K17" i="4"/>
  <c r="I7" i="4"/>
  <c r="I10" i="4"/>
  <c r="I13" i="4"/>
  <c r="I12" i="4"/>
  <c r="I14" i="4"/>
  <c r="J18" i="4"/>
  <c r="J13" i="4"/>
  <c r="J19" i="4"/>
  <c r="J9" i="4"/>
  <c r="J16" i="4"/>
  <c r="J15" i="4"/>
  <c r="J14" i="4"/>
  <c r="J12" i="4"/>
  <c r="J11" i="4"/>
  <c r="J10" i="4"/>
  <c r="I11" i="4"/>
  <c r="I16" i="4"/>
  <c r="I18" i="4"/>
  <c r="K14" i="4" l="1"/>
  <c r="K11" i="4"/>
  <c r="K16" i="4"/>
  <c r="K18" i="4"/>
  <c r="K10" i="4"/>
  <c r="K15" i="4"/>
  <c r="K13" i="4"/>
  <c r="K19" i="4"/>
  <c r="K12" i="4"/>
  <c r="K9" i="4"/>
  <c r="J7" i="4"/>
  <c r="K7" i="4" s="1"/>
  <c r="L7" i="4" s="1"/>
  <c r="M7" i="4" s="1"/>
  <c r="N7" i="4" s="1"/>
  <c r="O7" i="4" s="1"/>
  <c r="P7" i="4" s="1"/>
  <c r="Q7" i="4" s="1"/>
  <c r="R7" i="4" s="1"/>
  <c r="S7" i="4" s="1"/>
  <c r="T7" i="4" s="1"/>
  <c r="I9" i="4"/>
  <c r="I17" i="4"/>
  <c r="I19" i="4"/>
  <c r="J20" i="4"/>
  <c r="U7" i="4" l="1"/>
  <c r="V7" i="4" s="1"/>
  <c r="W7" i="4" s="1"/>
  <c r="X7" i="4" s="1"/>
  <c r="Y7" i="4" s="1"/>
  <c r="Z7" i="4" s="1"/>
  <c r="AA7" i="4" s="1"/>
  <c r="AB7" i="4" s="1"/>
  <c r="K20" i="4"/>
  <c r="L17" i="4" s="1"/>
  <c r="M17" i="4" s="1"/>
  <c r="I15" i="4"/>
  <c r="L9" i="4" l="1"/>
  <c r="M9" i="4" s="1"/>
  <c r="L11" i="4"/>
  <c r="L15" i="4"/>
  <c r="M15" i="4" s="1"/>
  <c r="L13" i="4"/>
  <c r="M13" i="4" s="1"/>
  <c r="L10" i="4"/>
  <c r="M10" i="4" s="1"/>
  <c r="L16" i="4"/>
  <c r="M16" i="4" s="1"/>
  <c r="L12" i="4"/>
  <c r="M12" i="4" s="1"/>
  <c r="AC7" i="4"/>
  <c r="AD7" i="4" s="1"/>
  <c r="AE7" i="4" s="1"/>
  <c r="AF7" i="4" s="1"/>
  <c r="AG7" i="4" s="1"/>
  <c r="AH7" i="4" s="1"/>
  <c r="AI7" i="4" s="1"/>
  <c r="AJ7" i="4" s="1"/>
  <c r="L19" i="4"/>
  <c r="M19" i="4" s="1"/>
  <c r="L18" i="4"/>
  <c r="M18" i="4" s="1"/>
  <c r="L14" i="4"/>
  <c r="M14" i="4" s="1"/>
  <c r="N20" i="4" l="1"/>
  <c r="O9" i="4" s="1"/>
  <c r="P9" i="4" s="1"/>
  <c r="M11" i="4"/>
  <c r="AK7" i="4"/>
  <c r="AL7" i="4" s="1"/>
  <c r="AM7" i="4" s="1"/>
  <c r="AN7" i="4" s="1"/>
  <c r="AO7" i="4" s="1"/>
  <c r="AP7" i="4" s="1"/>
  <c r="AQ7" i="4" s="1"/>
  <c r="AR7" i="4" s="1"/>
  <c r="O13" i="4" l="1"/>
  <c r="P13" i="4" s="1"/>
  <c r="O17" i="4"/>
  <c r="P17" i="4" s="1"/>
  <c r="O14" i="4"/>
  <c r="P14" i="4" s="1"/>
  <c r="O19" i="4"/>
  <c r="P19" i="4" s="1"/>
  <c r="O12" i="4"/>
  <c r="P12" i="4" s="1"/>
  <c r="O18" i="4"/>
  <c r="P18" i="4" s="1"/>
  <c r="O16" i="4"/>
  <c r="P16" i="4" s="1"/>
  <c r="O15" i="4"/>
  <c r="P15" i="4" s="1"/>
  <c r="O10" i="4"/>
  <c r="P10" i="4" s="1"/>
  <c r="O11" i="4"/>
  <c r="P11" i="4" s="1"/>
  <c r="AS7" i="4"/>
  <c r="AT7" i="4" s="1"/>
  <c r="AU7" i="4" s="1"/>
  <c r="AV7" i="4" s="1"/>
  <c r="AW7" i="4" s="1"/>
  <c r="AX7" i="4" s="1"/>
  <c r="AY7" i="4" s="1"/>
  <c r="AZ7" i="4" s="1"/>
  <c r="P20" i="4" l="1"/>
  <c r="Q12" i="4" s="1"/>
  <c r="T12" i="4" s="1"/>
  <c r="BA7" i="4"/>
  <c r="BB7" i="4" s="1"/>
  <c r="BC7" i="4" s="1"/>
  <c r="BD7" i="4" s="1"/>
  <c r="BE7" i="4" s="1"/>
  <c r="BF7" i="4" s="1"/>
  <c r="BG7" i="4" s="1"/>
  <c r="BH7" i="4" s="1"/>
  <c r="Q14" i="4" l="1"/>
  <c r="T14" i="4" s="1"/>
  <c r="Q13" i="4"/>
  <c r="T13" i="4" s="1"/>
  <c r="Q17" i="4"/>
  <c r="T17" i="4" s="1"/>
  <c r="Q18" i="4"/>
  <c r="T18" i="4" s="1"/>
  <c r="Q10" i="4"/>
  <c r="T10" i="4" s="1"/>
  <c r="Q16" i="4"/>
  <c r="T16" i="4" s="1"/>
  <c r="Q19" i="4"/>
  <c r="T19" i="4" s="1"/>
  <c r="Q15" i="4"/>
  <c r="T15" i="4" s="1"/>
  <c r="Q9" i="4"/>
  <c r="Q11" i="4"/>
  <c r="T11" i="4" s="1"/>
  <c r="BI7" i="4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Q20" i="4" l="1"/>
  <c r="T20" i="4" s="1"/>
  <c r="U11" i="4" s="1"/>
  <c r="V11" i="4" s="1"/>
  <c r="T9" i="4"/>
  <c r="BY7" i="4"/>
  <c r="BZ7" i="4" s="1"/>
  <c r="CA7" i="4" s="1"/>
  <c r="CB7" i="4" s="1"/>
  <c r="CC7" i="4" s="1"/>
  <c r="CD7" i="4" s="1"/>
  <c r="CE7" i="4" s="1"/>
  <c r="CF7" i="4" s="1"/>
  <c r="R20" i="4" l="1"/>
  <c r="CG7" i="4"/>
  <c r="CH7" i="4" s="1"/>
  <c r="CI7" i="4" s="1"/>
  <c r="CJ7" i="4" s="1"/>
  <c r="CK7" i="4" s="1"/>
  <c r="CL7" i="4" s="1"/>
  <c r="CM7" i="4" s="1"/>
  <c r="CN7" i="4" s="1"/>
  <c r="U18" i="4"/>
  <c r="V18" i="4" s="1"/>
  <c r="U9" i="4"/>
  <c r="V9" i="4" s="1"/>
  <c r="U14" i="4"/>
  <c r="V14" i="4" s="1"/>
  <c r="U19" i="4"/>
  <c r="V19" i="4" s="1"/>
  <c r="U16" i="4"/>
  <c r="V16" i="4" s="1"/>
  <c r="U12" i="4"/>
  <c r="V12" i="4" s="1"/>
  <c r="U17" i="4"/>
  <c r="V17" i="4" s="1"/>
  <c r="U15" i="4"/>
  <c r="V15" i="4" s="1"/>
  <c r="U10" i="4"/>
  <c r="V10" i="4" s="1"/>
  <c r="U13" i="4"/>
  <c r="V13" i="4" s="1"/>
  <c r="CO7" i="4" l="1"/>
  <c r="CP7" i="4" s="1"/>
  <c r="CQ7" i="4" s="1"/>
  <c r="CR7" i="4" s="1"/>
  <c r="CS7" i="4" s="1"/>
  <c r="CT7" i="4" s="1"/>
  <c r="CU7" i="4" s="1"/>
  <c r="CV7" i="4" s="1"/>
  <c r="S20" i="4"/>
  <c r="W17" i="4" s="1"/>
  <c r="X1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W19" i="4"/>
  <c r="X19" i="4" s="1"/>
  <c r="W14" i="4"/>
  <c r="X14" i="4" s="1"/>
  <c r="W11" i="4"/>
  <c r="X11" i="4" s="1"/>
  <c r="W12" i="4"/>
  <c r="X12" i="4" s="1"/>
  <c r="W13" i="4"/>
  <c r="X13" i="4" s="1"/>
  <c r="W16" i="4"/>
  <c r="X16" i="4" s="1"/>
  <c r="W10" i="4"/>
  <c r="X10" i="4" s="1"/>
  <c r="W18" i="4"/>
  <c r="X18" i="4" s="1"/>
  <c r="W15" i="4"/>
  <c r="X15" i="4" s="1"/>
  <c r="W9" i="4"/>
  <c r="X9" i="4" s="1"/>
  <c r="DU7" i="4" l="1"/>
  <c r="DV7" i="4" s="1"/>
  <c r="DW7" i="4" s="1"/>
  <c r="DX7" i="4" s="1"/>
  <c r="DY7" i="4" s="1"/>
  <c r="DZ7" i="4" s="1"/>
  <c r="EA7" i="4" s="1"/>
  <c r="EB7" i="4" s="1"/>
  <c r="X20" i="4"/>
  <c r="Y15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Y18" i="4"/>
  <c r="AB18" i="4" s="1"/>
  <c r="Y16" i="4"/>
  <c r="AB16" i="4" s="1"/>
  <c r="Y19" i="4"/>
  <c r="Y14" i="4"/>
  <c r="Y11" i="4"/>
  <c r="Y17" i="4"/>
  <c r="AB17" i="4" s="1"/>
  <c r="Y10" i="4"/>
  <c r="AB10" i="4" s="1"/>
  <c r="Y9" i="4"/>
  <c r="AB9" i="4" s="1"/>
  <c r="Y13" i="4"/>
  <c r="AB13" i="4" s="1"/>
  <c r="AB15" i="4"/>
  <c r="Y12" i="4"/>
  <c r="Y20" i="4" l="1"/>
  <c r="Z20" i="4" s="1"/>
  <c r="AB19" i="4"/>
  <c r="ES7" i="4"/>
  <c r="ET7" i="4" s="1"/>
  <c r="EU7" i="4" s="1"/>
  <c r="EV7" i="4" s="1"/>
  <c r="EW7" i="4" s="1"/>
  <c r="EX7" i="4" s="1"/>
  <c r="EY7" i="4" s="1"/>
  <c r="AB14" i="4"/>
  <c r="AB12" i="4"/>
  <c r="AB11" i="4"/>
  <c r="EZ7" i="4" l="1"/>
  <c r="FA7" i="4" s="1"/>
  <c r="FB7" i="4" s="1"/>
  <c r="FC7" i="4" s="1"/>
  <c r="FD7" i="4" s="1"/>
  <c r="FE7" i="4" s="1"/>
  <c r="FF7" i="4" s="1"/>
  <c r="FG7" i="4" s="1"/>
  <c r="FH7" i="4" s="1"/>
  <c r="AB20" i="4"/>
  <c r="AC12" i="4" s="1"/>
  <c r="AD12" i="4" s="1"/>
  <c r="FI7" i="4" l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AC14" i="4"/>
  <c r="AD14" i="4" s="1"/>
  <c r="AC18" i="4"/>
  <c r="AD18" i="4" s="1"/>
  <c r="AC16" i="4"/>
  <c r="AD16" i="4" s="1"/>
  <c r="AC13" i="4"/>
  <c r="AD13" i="4" s="1"/>
  <c r="AC10" i="4"/>
  <c r="AD10" i="4" s="1"/>
  <c r="AC11" i="4"/>
  <c r="AD11" i="4" s="1"/>
  <c r="AC17" i="4"/>
  <c r="AD17" i="4" s="1"/>
  <c r="AC9" i="4"/>
  <c r="AD9" i="4" s="1"/>
  <c r="AC19" i="4"/>
  <c r="AD19" i="4" s="1"/>
  <c r="AC15" i="4"/>
  <c r="AD15" i="4" s="1"/>
  <c r="AA20" i="4" l="1"/>
  <c r="AE16" i="4" s="1"/>
  <c r="AF16" i="4" s="1"/>
  <c r="AE17" i="4" l="1"/>
  <c r="AF17" i="4" s="1"/>
  <c r="AE12" i="4"/>
  <c r="AF12" i="4" s="1"/>
  <c r="AE14" i="4"/>
  <c r="AF14" i="4" s="1"/>
  <c r="AE15" i="4"/>
  <c r="AF15" i="4" s="1"/>
  <c r="AE9" i="4"/>
  <c r="AF9" i="4" s="1"/>
  <c r="AE10" i="4"/>
  <c r="AF10" i="4" s="1"/>
  <c r="AE18" i="4"/>
  <c r="AF18" i="4" s="1"/>
  <c r="AE11" i="4"/>
  <c r="AF11" i="4" s="1"/>
  <c r="AE13" i="4"/>
  <c r="AF13" i="4" s="1"/>
  <c r="AE19" i="4"/>
  <c r="AF19" i="4" s="1"/>
  <c r="AF20" i="4" l="1"/>
  <c r="AG10" i="4" l="1"/>
  <c r="AG12" i="4"/>
  <c r="AG18" i="4"/>
  <c r="AG9" i="4"/>
  <c r="AG11" i="4"/>
  <c r="AG16" i="4"/>
  <c r="AG15" i="4"/>
  <c r="AG14" i="4"/>
  <c r="AG19" i="4"/>
  <c r="AG17" i="4"/>
  <c r="AG13" i="4"/>
  <c r="AJ19" i="4" l="1"/>
  <c r="AJ11" i="4"/>
  <c r="AJ10" i="4"/>
  <c r="AJ17" i="4"/>
  <c r="AJ12" i="4"/>
  <c r="AJ16" i="4"/>
  <c r="AJ13" i="4"/>
  <c r="AJ15" i="4"/>
  <c r="AJ18" i="4"/>
  <c r="AJ14" i="4"/>
  <c r="AJ9" i="4"/>
  <c r="AG20" i="4"/>
  <c r="AJ20" i="4" l="1"/>
  <c r="AK12" i="4" s="1"/>
  <c r="AL12" i="4" s="1"/>
  <c r="AH20" i="4"/>
  <c r="AK10" i="4" l="1"/>
  <c r="AL10" i="4" s="1"/>
  <c r="AK14" i="4"/>
  <c r="AL14" i="4" s="1"/>
  <c r="AK16" i="4"/>
  <c r="AL16" i="4" s="1"/>
  <c r="AK19" i="4"/>
  <c r="AL19" i="4" s="1"/>
  <c r="AK15" i="4"/>
  <c r="AL15" i="4" s="1"/>
  <c r="AK17" i="4"/>
  <c r="AL17" i="4" s="1"/>
  <c r="AK11" i="4"/>
  <c r="AL11" i="4" s="1"/>
  <c r="AK18" i="4"/>
  <c r="AL18" i="4" s="1"/>
  <c r="AK9" i="4"/>
  <c r="AL9" i="4" s="1"/>
  <c r="AK13" i="4"/>
  <c r="AL13" i="4" s="1"/>
  <c r="AI20" i="4" l="1"/>
  <c r="AM19" i="4" s="1"/>
  <c r="AN19" i="4" s="1"/>
  <c r="AM12" i="4" l="1"/>
  <c r="AN12" i="4" s="1"/>
  <c r="AM18" i="4"/>
  <c r="AN18" i="4" s="1"/>
  <c r="AM17" i="4"/>
  <c r="AN17" i="4" s="1"/>
  <c r="AM14" i="4"/>
  <c r="AN14" i="4" s="1"/>
  <c r="AM15" i="4"/>
  <c r="AN15" i="4" s="1"/>
  <c r="AM13" i="4"/>
  <c r="AN13" i="4" s="1"/>
  <c r="AM16" i="4"/>
  <c r="AN16" i="4" s="1"/>
  <c r="AM10" i="4"/>
  <c r="AN10" i="4" s="1"/>
  <c r="AM9" i="4"/>
  <c r="AN9" i="4" s="1"/>
  <c r="AM11" i="4"/>
  <c r="AN11" i="4" s="1"/>
  <c r="AN20" i="4" l="1"/>
  <c r="AO9" i="4" s="1"/>
  <c r="AR9" i="4" s="1"/>
  <c r="AO14" i="4" l="1"/>
  <c r="AR14" i="4" s="1"/>
  <c r="AO13" i="4"/>
  <c r="AR13" i="4" s="1"/>
  <c r="AO10" i="4"/>
  <c r="AR10" i="4" s="1"/>
  <c r="AO16" i="4"/>
  <c r="AR16" i="4" s="1"/>
  <c r="AO15" i="4"/>
  <c r="AR15" i="4" s="1"/>
  <c r="AO19" i="4"/>
  <c r="AR19" i="4" s="1"/>
  <c r="AO18" i="4"/>
  <c r="AR18" i="4" s="1"/>
  <c r="AO11" i="4"/>
  <c r="AR11" i="4" s="1"/>
  <c r="AO17" i="4"/>
  <c r="AR17" i="4" s="1"/>
  <c r="AO12" i="4"/>
  <c r="AR12" i="4" s="1"/>
  <c r="AO20" i="4" l="1"/>
  <c r="AR20" i="4" s="1"/>
  <c r="AS16" i="4" s="1"/>
  <c r="AT16" i="4" s="1"/>
  <c r="AS9" i="4" l="1"/>
  <c r="AT9" i="4" s="1"/>
  <c r="AS18" i="4"/>
  <c r="AT18" i="4" s="1"/>
  <c r="AS11" i="4"/>
  <c r="AT11" i="4" s="1"/>
  <c r="AS17" i="4"/>
  <c r="AT17" i="4" s="1"/>
  <c r="AS10" i="4"/>
  <c r="AT10" i="4" s="1"/>
  <c r="AS19" i="4"/>
  <c r="AT19" i="4" s="1"/>
  <c r="AS14" i="4"/>
  <c r="AT14" i="4" s="1"/>
  <c r="AS15" i="4"/>
  <c r="AT15" i="4" s="1"/>
  <c r="AS13" i="4"/>
  <c r="AT13" i="4" s="1"/>
  <c r="AS12" i="4"/>
  <c r="AT12" i="4" s="1"/>
  <c r="AP20" i="4"/>
  <c r="AQ20" i="4" l="1"/>
  <c r="AU17" i="4" s="1"/>
  <c r="AV17" i="4" s="1"/>
  <c r="AU12" i="4" l="1"/>
  <c r="AV12" i="4" s="1"/>
  <c r="AU10" i="4"/>
  <c r="AV10" i="4" s="1"/>
  <c r="AU14" i="4"/>
  <c r="AV14" i="4" s="1"/>
  <c r="AU9" i="4"/>
  <c r="AV9" i="4" s="1"/>
  <c r="AU19" i="4"/>
  <c r="AV19" i="4" s="1"/>
  <c r="AU13" i="4"/>
  <c r="AV13" i="4" s="1"/>
  <c r="AU11" i="4"/>
  <c r="AV11" i="4" s="1"/>
  <c r="AU15" i="4"/>
  <c r="AV15" i="4" s="1"/>
  <c r="AU16" i="4"/>
  <c r="AV16" i="4" s="1"/>
  <c r="AU18" i="4"/>
  <c r="AV18" i="4" s="1"/>
  <c r="AV20" i="4" l="1"/>
  <c r="AW18" i="4" s="1"/>
  <c r="AZ18" i="4" s="1"/>
  <c r="AW14" i="4" l="1"/>
  <c r="AZ14" i="4" s="1"/>
  <c r="AW13" i="4"/>
  <c r="AZ13" i="4" s="1"/>
  <c r="AW15" i="4"/>
  <c r="AZ15" i="4" s="1"/>
  <c r="AW11" i="4"/>
  <c r="AZ11" i="4" s="1"/>
  <c r="AW10" i="4"/>
  <c r="AZ10" i="4" s="1"/>
  <c r="AW16" i="4"/>
  <c r="AZ16" i="4" s="1"/>
  <c r="AW9" i="4"/>
  <c r="AZ9" i="4" s="1"/>
  <c r="AW12" i="4"/>
  <c r="AZ12" i="4" s="1"/>
  <c r="AW19" i="4"/>
  <c r="AZ19" i="4" s="1"/>
  <c r="AW17" i="4"/>
  <c r="AZ17" i="4" s="1"/>
  <c r="AW20" i="4" l="1"/>
  <c r="AX20" i="4" s="1"/>
  <c r="AZ20" i="4" l="1"/>
  <c r="BA19" i="4" s="1"/>
  <c r="BB19" i="4" s="1"/>
  <c r="BA11" i="4" l="1"/>
  <c r="BB11" i="4" s="1"/>
  <c r="BA10" i="4"/>
  <c r="BB10" i="4" s="1"/>
  <c r="BA15" i="4"/>
  <c r="BB15" i="4" s="1"/>
  <c r="BA12" i="4"/>
  <c r="BB12" i="4" s="1"/>
  <c r="BA18" i="4"/>
  <c r="BB18" i="4" s="1"/>
  <c r="BA14" i="4"/>
  <c r="BB14" i="4" s="1"/>
  <c r="BA13" i="4"/>
  <c r="BB13" i="4" s="1"/>
  <c r="BA17" i="4"/>
  <c r="BB17" i="4" s="1"/>
  <c r="BA16" i="4"/>
  <c r="BB16" i="4" s="1"/>
  <c r="BA9" i="4"/>
  <c r="BB9" i="4" s="1"/>
  <c r="AY20" i="4" l="1"/>
  <c r="BC19" i="4" s="1"/>
  <c r="BD19" i="4" s="1"/>
  <c r="BC16" i="4" l="1"/>
  <c r="BD16" i="4" s="1"/>
  <c r="BC11" i="4"/>
  <c r="BD11" i="4" s="1"/>
  <c r="BC12" i="4"/>
  <c r="BD12" i="4" s="1"/>
  <c r="BC9" i="4"/>
  <c r="BD9" i="4" s="1"/>
  <c r="BC14" i="4"/>
  <c r="BD14" i="4" s="1"/>
  <c r="BC15" i="4"/>
  <c r="BD15" i="4" s="1"/>
  <c r="BC13" i="4"/>
  <c r="BD13" i="4" s="1"/>
  <c r="BC10" i="4"/>
  <c r="BD10" i="4" s="1"/>
  <c r="BC18" i="4"/>
  <c r="BD18" i="4" s="1"/>
  <c r="BC17" i="4"/>
  <c r="BD17" i="4" s="1"/>
  <c r="BD20" i="4" l="1"/>
  <c r="BE10" i="4" s="1"/>
  <c r="BH10" i="4" s="1"/>
  <c r="BE13" i="4" l="1"/>
  <c r="BH13" i="4" s="1"/>
  <c r="BE11" i="4"/>
  <c r="BH11" i="4" s="1"/>
  <c r="BE16" i="4"/>
  <c r="BH16" i="4" s="1"/>
  <c r="BE14" i="4"/>
  <c r="BH14" i="4" s="1"/>
  <c r="BE18" i="4"/>
  <c r="BH18" i="4" s="1"/>
  <c r="BE12" i="4"/>
  <c r="BH12" i="4" s="1"/>
  <c r="BE17" i="4"/>
  <c r="BH17" i="4" s="1"/>
  <c r="BE15" i="4"/>
  <c r="BH15" i="4" s="1"/>
  <c r="BE19" i="4"/>
  <c r="BH19" i="4" s="1"/>
  <c r="BE9" i="4"/>
  <c r="BH9" i="4" s="1"/>
  <c r="BE20" i="4" l="1"/>
  <c r="BF20" i="4" s="1"/>
  <c r="BH20" i="4" l="1"/>
  <c r="BI11" i="4" s="1"/>
  <c r="BJ11" i="4" s="1"/>
  <c r="BI10" i="4" l="1"/>
  <c r="BJ10" i="4" s="1"/>
  <c r="BI15" i="4"/>
  <c r="BJ15" i="4" s="1"/>
  <c r="BI14" i="4"/>
  <c r="BJ14" i="4" s="1"/>
  <c r="BI16" i="4"/>
  <c r="BJ16" i="4" s="1"/>
  <c r="BI18" i="4"/>
  <c r="BJ18" i="4" s="1"/>
  <c r="BI12" i="4"/>
  <c r="BJ12" i="4" s="1"/>
  <c r="BI19" i="4"/>
  <c r="BJ19" i="4" s="1"/>
  <c r="BI17" i="4"/>
  <c r="BJ17" i="4" s="1"/>
  <c r="BI13" i="4"/>
  <c r="BJ13" i="4" s="1"/>
  <c r="BI9" i="4"/>
  <c r="BJ9" i="4" s="1"/>
  <c r="BG20" i="4" l="1"/>
  <c r="BK19" i="4" l="1"/>
  <c r="BL19" i="4" s="1"/>
  <c r="BK17" i="4"/>
  <c r="BL17" i="4" s="1"/>
  <c r="BK16" i="4"/>
  <c r="BL16" i="4" s="1"/>
  <c r="BK13" i="4"/>
  <c r="BL13" i="4" s="1"/>
  <c r="BK9" i="4"/>
  <c r="BL9" i="4" s="1"/>
  <c r="BK18" i="4"/>
  <c r="BL18" i="4" s="1"/>
  <c r="BK14" i="4"/>
  <c r="BL14" i="4" s="1"/>
  <c r="BK11" i="4"/>
  <c r="BL11" i="4" s="1"/>
  <c r="BK10" i="4"/>
  <c r="BL10" i="4" s="1"/>
  <c r="BK15" i="4"/>
  <c r="BL15" i="4" s="1"/>
  <c r="BK12" i="4"/>
  <c r="BL12" i="4" s="1"/>
  <c r="BL20" i="4" l="1"/>
  <c r="BM13" i="4" s="1"/>
  <c r="BP13" i="4" s="1"/>
  <c r="BM11" i="4" l="1"/>
  <c r="BP11" i="4" s="1"/>
  <c r="BM18" i="4"/>
  <c r="BP18" i="4" s="1"/>
  <c r="BM17" i="4"/>
  <c r="BP17" i="4" s="1"/>
  <c r="BM10" i="4"/>
  <c r="BP10" i="4" s="1"/>
  <c r="BM15" i="4"/>
  <c r="BP15" i="4" s="1"/>
  <c r="BM14" i="4"/>
  <c r="BP14" i="4" s="1"/>
  <c r="BM9" i="4"/>
  <c r="BM19" i="4"/>
  <c r="BP19" i="4" s="1"/>
  <c r="BM16" i="4"/>
  <c r="BP16" i="4" s="1"/>
  <c r="BM12" i="4"/>
  <c r="BP12" i="4" s="1"/>
  <c r="BP9" i="4" l="1"/>
  <c r="BM20" i="4"/>
  <c r="BN20" i="4" l="1"/>
  <c r="BP20" i="4"/>
  <c r="BQ17" i="4" l="1"/>
  <c r="BR17" i="4" s="1"/>
  <c r="BQ12" i="4"/>
  <c r="BR12" i="4" s="1"/>
  <c r="BQ10" i="4"/>
  <c r="BR10" i="4" s="1"/>
  <c r="BQ15" i="4"/>
  <c r="BR15" i="4" s="1"/>
  <c r="BQ18" i="4"/>
  <c r="BR18" i="4" s="1"/>
  <c r="BQ13" i="4"/>
  <c r="BR13" i="4" s="1"/>
  <c r="BQ11" i="4"/>
  <c r="BR11" i="4" s="1"/>
  <c r="BQ19" i="4"/>
  <c r="BR19" i="4" s="1"/>
  <c r="BQ9" i="4"/>
  <c r="BR9" i="4" s="1"/>
  <c r="BQ14" i="4"/>
  <c r="BR14" i="4" s="1"/>
  <c r="BQ16" i="4"/>
  <c r="BR16" i="4" s="1"/>
  <c r="BO20" i="4" l="1"/>
  <c r="BS18" i="4" s="1"/>
  <c r="BT18" i="4" s="1"/>
  <c r="BS9" i="4" l="1"/>
  <c r="BT9" i="4" s="1"/>
  <c r="BS15" i="4"/>
  <c r="BT15" i="4" s="1"/>
  <c r="BS14" i="4"/>
  <c r="BT14" i="4" s="1"/>
  <c r="BS19" i="4"/>
  <c r="BT19" i="4" s="1"/>
  <c r="BS16" i="4"/>
  <c r="BT16" i="4" s="1"/>
  <c r="BS17" i="4"/>
  <c r="BT17" i="4" s="1"/>
  <c r="BS11" i="4"/>
  <c r="BT11" i="4" s="1"/>
  <c r="BS10" i="4"/>
  <c r="BT10" i="4" s="1"/>
  <c r="BS12" i="4"/>
  <c r="BT12" i="4" s="1"/>
  <c r="BS13" i="4"/>
  <c r="BT13" i="4" s="1"/>
  <c r="BT20" i="4" l="1"/>
  <c r="BU16" i="4" s="1"/>
  <c r="BX16" i="4" s="1"/>
  <c r="BU17" i="4" l="1"/>
  <c r="BX17" i="4" s="1"/>
  <c r="BU12" i="4"/>
  <c r="BX12" i="4" s="1"/>
  <c r="BU10" i="4"/>
  <c r="BX10" i="4" s="1"/>
  <c r="BU15" i="4"/>
  <c r="BX15" i="4" s="1"/>
  <c r="BU14" i="4"/>
  <c r="BX14" i="4" s="1"/>
  <c r="BU18" i="4"/>
  <c r="BX18" i="4" s="1"/>
  <c r="BU19" i="4"/>
  <c r="BX19" i="4" s="1"/>
  <c r="BU9" i="4"/>
  <c r="BX9" i="4" s="1"/>
  <c r="BU13" i="4"/>
  <c r="BX13" i="4" s="1"/>
  <c r="BU11" i="4"/>
  <c r="BX11" i="4" s="1"/>
  <c r="BU20" i="4" l="1"/>
  <c r="BV20" i="4" s="1"/>
  <c r="BX20" i="4" l="1"/>
  <c r="BY16" i="4" s="1"/>
  <c r="BZ16" i="4" s="1"/>
  <c r="BY14" i="4" l="1"/>
  <c r="BZ14" i="4" s="1"/>
  <c r="BY12" i="4"/>
  <c r="BZ12" i="4" s="1"/>
  <c r="BY19" i="4"/>
  <c r="BZ19" i="4" s="1"/>
  <c r="BY15" i="4"/>
  <c r="BZ15" i="4" s="1"/>
  <c r="BY11" i="4"/>
  <c r="BZ11" i="4" s="1"/>
  <c r="BY9" i="4"/>
  <c r="BZ9" i="4" s="1"/>
  <c r="BY13" i="4"/>
  <c r="BZ13" i="4" s="1"/>
  <c r="BY18" i="4"/>
  <c r="BZ18" i="4" s="1"/>
  <c r="BY10" i="4"/>
  <c r="BZ10" i="4" s="1"/>
  <c r="BY17" i="4"/>
  <c r="BZ17" i="4" s="1"/>
  <c r="BW20" i="4" l="1"/>
  <c r="CA19" i="4" s="1"/>
  <c r="CB19" i="4" s="1"/>
  <c r="CA15" i="4" l="1"/>
  <c r="CB15" i="4" s="1"/>
  <c r="CA16" i="4"/>
  <c r="CB16" i="4" s="1"/>
  <c r="CA11" i="4"/>
  <c r="CB11" i="4" s="1"/>
  <c r="CA9" i="4"/>
  <c r="CB9" i="4" s="1"/>
  <c r="CA18" i="4"/>
  <c r="CB18" i="4" s="1"/>
  <c r="CA10" i="4"/>
  <c r="CB10" i="4" s="1"/>
  <c r="CA12" i="4"/>
  <c r="CB12" i="4" s="1"/>
  <c r="CA13" i="4"/>
  <c r="CB13" i="4" s="1"/>
  <c r="CA17" i="4"/>
  <c r="CB17" i="4" s="1"/>
  <c r="CA14" i="4"/>
  <c r="CB14" i="4" s="1"/>
  <c r="CB20" i="4" l="1"/>
  <c r="CC14" i="4" s="1"/>
  <c r="CF14" i="4" s="1"/>
  <c r="CC18" i="4" l="1"/>
  <c r="CF18" i="4" s="1"/>
  <c r="CC12" i="4"/>
  <c r="CF12" i="4" s="1"/>
  <c r="CC9" i="4"/>
  <c r="CF9" i="4" s="1"/>
  <c r="CC15" i="4"/>
  <c r="CF15" i="4" s="1"/>
  <c r="CC16" i="4"/>
  <c r="CF16" i="4" s="1"/>
  <c r="CC19" i="4"/>
  <c r="CF19" i="4" s="1"/>
  <c r="CC13" i="4"/>
  <c r="CF13" i="4" s="1"/>
  <c r="CC10" i="4"/>
  <c r="CF10" i="4" s="1"/>
  <c r="CC17" i="4"/>
  <c r="CF17" i="4" s="1"/>
  <c r="CC11" i="4"/>
  <c r="CF11" i="4" s="1"/>
  <c r="CC20" i="4" l="1"/>
  <c r="CF20" i="4" s="1"/>
  <c r="CG10" i="4" s="1"/>
  <c r="CH10" i="4" s="1"/>
  <c r="CD20" i="4" l="1"/>
  <c r="CG12" i="4"/>
  <c r="CH12" i="4" s="1"/>
  <c r="CG16" i="4"/>
  <c r="CH16" i="4" s="1"/>
  <c r="CG18" i="4"/>
  <c r="CH18" i="4" s="1"/>
  <c r="CG14" i="4"/>
  <c r="CH14" i="4" s="1"/>
  <c r="CG11" i="4"/>
  <c r="CH11" i="4" s="1"/>
  <c r="CG9" i="4"/>
  <c r="CH9" i="4" s="1"/>
  <c r="CG17" i="4"/>
  <c r="CH17" i="4" s="1"/>
  <c r="CG19" i="4"/>
  <c r="CH19" i="4" s="1"/>
  <c r="CG13" i="4"/>
  <c r="CH13" i="4" s="1"/>
  <c r="CG15" i="4"/>
  <c r="CH15" i="4" s="1"/>
  <c r="CE20" i="4"/>
  <c r="CI9" i="4" s="1"/>
  <c r="CJ9" i="4" s="1"/>
  <c r="CI19" i="4" l="1"/>
  <c r="CJ19" i="4" s="1"/>
  <c r="CI10" i="4"/>
  <c r="CJ10" i="4" s="1"/>
  <c r="CI18" i="4"/>
  <c r="CJ18" i="4" s="1"/>
  <c r="CI12" i="4"/>
  <c r="CJ12" i="4" s="1"/>
  <c r="CI17" i="4"/>
  <c r="CJ17" i="4" s="1"/>
  <c r="CI16" i="4"/>
  <c r="CJ16" i="4" s="1"/>
  <c r="CI14" i="4"/>
  <c r="CJ14" i="4" s="1"/>
  <c r="CI11" i="4"/>
  <c r="CJ11" i="4" s="1"/>
  <c r="CI13" i="4"/>
  <c r="CJ13" i="4" s="1"/>
  <c r="CI15" i="4"/>
  <c r="CJ15" i="4" s="1"/>
  <c r="CJ20" i="4" l="1"/>
  <c r="CK10" i="4" s="1"/>
  <c r="CN10" i="4" s="1"/>
  <c r="CK9" i="4" l="1"/>
  <c r="CN9" i="4" s="1"/>
  <c r="CK16" i="4"/>
  <c r="CN16" i="4" s="1"/>
  <c r="CK17" i="4"/>
  <c r="CN17" i="4" s="1"/>
  <c r="CK11" i="4"/>
  <c r="CN11" i="4" s="1"/>
  <c r="CK13" i="4"/>
  <c r="CN13" i="4" s="1"/>
  <c r="CK19" i="4"/>
  <c r="CN19" i="4" s="1"/>
  <c r="CK18" i="4"/>
  <c r="CN18" i="4" s="1"/>
  <c r="CK14" i="4"/>
  <c r="CN14" i="4" s="1"/>
  <c r="CK15" i="4"/>
  <c r="CN15" i="4" s="1"/>
  <c r="CK12" i="4"/>
  <c r="CN12" i="4" s="1"/>
  <c r="CK20" i="4" l="1"/>
  <c r="CL20" i="4" s="1"/>
  <c r="CN20" i="4" l="1"/>
  <c r="CO9" i="4" s="1"/>
  <c r="CP9" i="4" s="1"/>
  <c r="CO14" i="4" l="1"/>
  <c r="CP14" i="4" s="1"/>
  <c r="CO17" i="4"/>
  <c r="CP17" i="4" s="1"/>
  <c r="CO11" i="4"/>
  <c r="CP11" i="4" s="1"/>
  <c r="CO16" i="4"/>
  <c r="CP16" i="4" s="1"/>
  <c r="CO19" i="4"/>
  <c r="CP19" i="4" s="1"/>
  <c r="CO15" i="4"/>
  <c r="CP15" i="4" s="1"/>
  <c r="CO10" i="4"/>
  <c r="CP10" i="4" s="1"/>
  <c r="CO13" i="4"/>
  <c r="CP13" i="4" s="1"/>
  <c r="CO12" i="4"/>
  <c r="CP12" i="4" s="1"/>
  <c r="CO18" i="4"/>
  <c r="CP18" i="4" s="1"/>
  <c r="CM20" i="4" l="1"/>
  <c r="CQ14" i="4" s="1"/>
  <c r="CR14" i="4" s="1"/>
  <c r="CQ19" i="4" l="1"/>
  <c r="CR19" i="4" s="1"/>
  <c r="CQ11" i="4"/>
  <c r="CR11" i="4" s="1"/>
  <c r="CQ12" i="4"/>
  <c r="CR12" i="4" s="1"/>
  <c r="CQ15" i="4"/>
  <c r="CR15" i="4" s="1"/>
  <c r="CQ17" i="4"/>
  <c r="CR17" i="4" s="1"/>
  <c r="CQ13" i="4"/>
  <c r="CR13" i="4" s="1"/>
  <c r="CQ9" i="4"/>
  <c r="CR9" i="4" s="1"/>
  <c r="CQ18" i="4"/>
  <c r="CR18" i="4" s="1"/>
  <c r="CQ10" i="4"/>
  <c r="CR10" i="4" s="1"/>
  <c r="CQ16" i="4"/>
  <c r="CR16" i="4" s="1"/>
  <c r="CR20" i="4" l="1"/>
  <c r="CS14" i="4" s="1"/>
  <c r="CV14" i="4" s="1"/>
  <c r="CS9" i="4" l="1"/>
  <c r="CV9" i="4" s="1"/>
  <c r="CS13" i="4"/>
  <c r="CV13" i="4" s="1"/>
  <c r="CS19" i="4"/>
  <c r="CV19" i="4" s="1"/>
  <c r="CS11" i="4"/>
  <c r="CV11" i="4" s="1"/>
  <c r="CS18" i="4"/>
  <c r="CV18" i="4" s="1"/>
  <c r="CS17" i="4"/>
  <c r="CV17" i="4" s="1"/>
  <c r="CS16" i="4"/>
  <c r="CV16" i="4" s="1"/>
  <c r="CS15" i="4"/>
  <c r="CV15" i="4" s="1"/>
  <c r="CS12" i="4"/>
  <c r="CV12" i="4" s="1"/>
  <c r="CS10" i="4"/>
  <c r="CV10" i="4" s="1"/>
  <c r="CS20" i="4" l="1"/>
  <c r="CV20" i="4" s="1"/>
  <c r="CW9" i="4" s="1"/>
  <c r="CX9" i="4" s="1"/>
  <c r="CW19" i="4" l="1"/>
  <c r="CX19" i="4" s="1"/>
  <c r="CW12" i="4"/>
  <c r="CX12" i="4" s="1"/>
  <c r="CW13" i="4"/>
  <c r="CX13" i="4" s="1"/>
  <c r="CW10" i="4"/>
  <c r="CX10" i="4" s="1"/>
  <c r="CW15" i="4"/>
  <c r="CX15" i="4" s="1"/>
  <c r="CW18" i="4"/>
  <c r="CX18" i="4" s="1"/>
  <c r="CW16" i="4"/>
  <c r="CX16" i="4" s="1"/>
  <c r="CW11" i="4"/>
  <c r="CX11" i="4" s="1"/>
  <c r="CT20" i="4"/>
  <c r="CW14" i="4"/>
  <c r="CX14" i="4" s="1"/>
  <c r="CW17" i="4"/>
  <c r="CX17" i="4" s="1"/>
  <c r="CU20" i="4" l="1"/>
  <c r="CY18" i="4" s="1"/>
  <c r="CZ18" i="4" s="1"/>
  <c r="CY17" i="4" l="1"/>
  <c r="CZ17" i="4" s="1"/>
  <c r="CY9" i="4"/>
  <c r="CZ9" i="4" s="1"/>
  <c r="CY15" i="4"/>
  <c r="CZ15" i="4" s="1"/>
  <c r="CY14" i="4"/>
  <c r="CZ14" i="4" s="1"/>
  <c r="CY19" i="4"/>
  <c r="CZ19" i="4" s="1"/>
  <c r="CY12" i="4"/>
  <c r="CZ12" i="4" s="1"/>
  <c r="CY11" i="4"/>
  <c r="CZ11" i="4" s="1"/>
  <c r="CY16" i="4"/>
  <c r="CZ16" i="4" s="1"/>
  <c r="CY10" i="4"/>
  <c r="CZ10" i="4" s="1"/>
  <c r="CY13" i="4"/>
  <c r="CZ13" i="4" s="1"/>
  <c r="CZ20" i="4" l="1"/>
  <c r="DA12" i="4" s="1"/>
  <c r="DD12" i="4" s="1"/>
  <c r="DA16" i="4" l="1"/>
  <c r="DD16" i="4" s="1"/>
  <c r="DA19" i="4"/>
  <c r="DD19" i="4" s="1"/>
  <c r="DA15" i="4"/>
  <c r="DD15" i="4" s="1"/>
  <c r="DA17" i="4"/>
  <c r="DD17" i="4" s="1"/>
  <c r="DA9" i="4"/>
  <c r="DD9" i="4" s="1"/>
  <c r="DA13" i="4"/>
  <c r="DD13" i="4" s="1"/>
  <c r="DA14" i="4"/>
  <c r="DD14" i="4" s="1"/>
  <c r="DA18" i="4"/>
  <c r="DD18" i="4" s="1"/>
  <c r="DA11" i="4"/>
  <c r="DD11" i="4" s="1"/>
  <c r="DA10" i="4"/>
  <c r="DD10" i="4" s="1"/>
  <c r="DA20" i="4" l="1"/>
  <c r="DB20" i="4" s="1"/>
  <c r="DD20" i="4"/>
  <c r="DE15" i="4" s="1"/>
  <c r="DF15" i="4" s="1"/>
  <c r="DE19" i="4" l="1"/>
  <c r="DF19" i="4" s="1"/>
  <c r="DE10" i="4"/>
  <c r="DF10" i="4" s="1"/>
  <c r="DE18" i="4"/>
  <c r="DF18" i="4" s="1"/>
  <c r="DE13" i="4"/>
  <c r="DF13" i="4" s="1"/>
  <c r="DE9" i="4"/>
  <c r="DF9" i="4" s="1"/>
  <c r="DE14" i="4"/>
  <c r="DF14" i="4" s="1"/>
  <c r="DE16" i="4"/>
  <c r="DF16" i="4" s="1"/>
  <c r="DE11" i="4"/>
  <c r="DF11" i="4" s="1"/>
  <c r="DE17" i="4"/>
  <c r="DF17" i="4" s="1"/>
  <c r="DE12" i="4"/>
  <c r="DF12" i="4" s="1"/>
  <c r="DC20" i="4"/>
  <c r="DG12" i="4" s="1"/>
  <c r="DH12" i="4" s="1"/>
  <c r="DG9" i="4" l="1"/>
  <c r="DH9" i="4" s="1"/>
  <c r="DG14" i="4"/>
  <c r="DH14" i="4" s="1"/>
  <c r="DG13" i="4"/>
  <c r="DH13" i="4" s="1"/>
  <c r="DG16" i="4"/>
  <c r="DH16" i="4" s="1"/>
  <c r="DG19" i="4"/>
  <c r="DH19" i="4" s="1"/>
  <c r="DG18" i="4"/>
  <c r="DH18" i="4" s="1"/>
  <c r="DG15" i="4"/>
  <c r="DH15" i="4" s="1"/>
  <c r="DG17" i="4"/>
  <c r="DH17" i="4" s="1"/>
  <c r="DG11" i="4"/>
  <c r="DH11" i="4" s="1"/>
  <c r="DG10" i="4"/>
  <c r="DH10" i="4" s="1"/>
  <c r="DH20" i="4" l="1"/>
  <c r="DI16" i="4" s="1"/>
  <c r="DL16" i="4" s="1"/>
  <c r="DI12" i="4" l="1"/>
  <c r="DL12" i="4" s="1"/>
  <c r="DI19" i="4"/>
  <c r="DL19" i="4" s="1"/>
  <c r="DI11" i="4"/>
  <c r="DL11" i="4" s="1"/>
  <c r="DI10" i="4"/>
  <c r="DL10" i="4" s="1"/>
  <c r="DI17" i="4"/>
  <c r="DL17" i="4" s="1"/>
  <c r="DI15" i="4"/>
  <c r="DL15" i="4" s="1"/>
  <c r="DI9" i="4"/>
  <c r="DL9" i="4" s="1"/>
  <c r="DI18" i="4"/>
  <c r="DL18" i="4" s="1"/>
  <c r="DI14" i="4"/>
  <c r="DL14" i="4" s="1"/>
  <c r="DI13" i="4"/>
  <c r="DL13" i="4" s="1"/>
  <c r="DI20" i="4" l="1"/>
  <c r="DJ20" i="4" s="1"/>
  <c r="DL20" i="4" l="1"/>
  <c r="DM15" i="4" s="1"/>
  <c r="DN15" i="4" s="1"/>
  <c r="DM17" i="4" l="1"/>
  <c r="DN17" i="4" s="1"/>
  <c r="DM9" i="4"/>
  <c r="DN9" i="4" s="1"/>
  <c r="DM18" i="4"/>
  <c r="DN18" i="4" s="1"/>
  <c r="DM14" i="4"/>
  <c r="DN14" i="4" s="1"/>
  <c r="DM16" i="4"/>
  <c r="DN16" i="4" s="1"/>
  <c r="DM13" i="4"/>
  <c r="DN13" i="4" s="1"/>
  <c r="DM19" i="4"/>
  <c r="DN19" i="4" s="1"/>
  <c r="DM10" i="4"/>
  <c r="DN10" i="4" s="1"/>
  <c r="DM12" i="4"/>
  <c r="DN12" i="4" s="1"/>
  <c r="DM11" i="4"/>
  <c r="DN11" i="4" s="1"/>
  <c r="DK20" i="4" l="1"/>
  <c r="DO10" i="4" s="1"/>
  <c r="DP10" i="4" s="1"/>
  <c r="DO15" i="4" l="1"/>
  <c r="DP15" i="4" s="1"/>
  <c r="DO14" i="4"/>
  <c r="DP14" i="4" s="1"/>
  <c r="DO18" i="4"/>
  <c r="DP18" i="4" s="1"/>
  <c r="DO19" i="4"/>
  <c r="DP19" i="4" s="1"/>
  <c r="DO11" i="4"/>
  <c r="DP11" i="4" s="1"/>
  <c r="DO9" i="4"/>
  <c r="DP9" i="4" s="1"/>
  <c r="DO12" i="4"/>
  <c r="DP12" i="4" s="1"/>
  <c r="DO16" i="4"/>
  <c r="DP16" i="4" s="1"/>
  <c r="DO13" i="4"/>
  <c r="DP13" i="4" s="1"/>
  <c r="DO17" i="4"/>
  <c r="DP17" i="4" s="1"/>
  <c r="DP20" i="4" l="1"/>
  <c r="DQ19" i="4" s="1"/>
  <c r="DT19" i="4" s="1"/>
  <c r="DQ15" i="4" l="1"/>
  <c r="DT15" i="4" s="1"/>
  <c r="DQ13" i="4"/>
  <c r="DT13" i="4" s="1"/>
  <c r="DQ16" i="4"/>
  <c r="DT16" i="4" s="1"/>
  <c r="DQ9" i="4"/>
  <c r="DT9" i="4" s="1"/>
  <c r="DQ17" i="4"/>
  <c r="DT17" i="4" s="1"/>
  <c r="DQ11" i="4"/>
  <c r="DT11" i="4" s="1"/>
  <c r="DQ12" i="4"/>
  <c r="DT12" i="4" s="1"/>
  <c r="DQ18" i="4"/>
  <c r="DT18" i="4" s="1"/>
  <c r="DQ14" i="4"/>
  <c r="DT14" i="4" s="1"/>
  <c r="DQ10" i="4"/>
  <c r="DT10" i="4" s="1"/>
  <c r="DQ20" i="4" l="1"/>
  <c r="DT20" i="4" s="1"/>
  <c r="DU19" i="4" s="1"/>
  <c r="DV19" i="4" s="1"/>
  <c r="DU16" i="4" l="1"/>
  <c r="DV16" i="4" s="1"/>
  <c r="DU12" i="4"/>
  <c r="DV12" i="4" s="1"/>
  <c r="DR20" i="4"/>
  <c r="DU17" i="4"/>
  <c r="DV17" i="4" s="1"/>
  <c r="DU10" i="4"/>
  <c r="DV10" i="4" s="1"/>
  <c r="DU15" i="4"/>
  <c r="DV15" i="4" s="1"/>
  <c r="DU13" i="4"/>
  <c r="DV13" i="4" s="1"/>
  <c r="DU14" i="4"/>
  <c r="DV14" i="4" s="1"/>
  <c r="DU11" i="4"/>
  <c r="DV11" i="4" s="1"/>
  <c r="DU18" i="4"/>
  <c r="DV18" i="4" s="1"/>
  <c r="DU9" i="4"/>
  <c r="DV9" i="4" s="1"/>
  <c r="DS20" i="4" l="1"/>
  <c r="DW15" i="4" s="1"/>
  <c r="DX15" i="4" s="1"/>
  <c r="DW13" i="4" l="1"/>
  <c r="DX13" i="4" s="1"/>
  <c r="DW12" i="4"/>
  <c r="DX12" i="4" s="1"/>
  <c r="DW10" i="4"/>
  <c r="DX10" i="4" s="1"/>
  <c r="DW19" i="4"/>
  <c r="DX19" i="4" s="1"/>
  <c r="DW18" i="4"/>
  <c r="DX18" i="4" s="1"/>
  <c r="DW17" i="4"/>
  <c r="DX17" i="4" s="1"/>
  <c r="DW14" i="4"/>
  <c r="DX14" i="4" s="1"/>
  <c r="DW11" i="4"/>
  <c r="DX11" i="4" s="1"/>
  <c r="DW16" i="4"/>
  <c r="DX16" i="4" s="1"/>
  <c r="DW9" i="4"/>
  <c r="DX9" i="4" s="1"/>
  <c r="DX20" i="4" l="1"/>
  <c r="DY11" i="4" s="1"/>
  <c r="EB11" i="4" s="1"/>
  <c r="DY14" i="4" l="1"/>
  <c r="EB14" i="4" s="1"/>
  <c r="DY17" i="4"/>
  <c r="EB17" i="4" s="1"/>
  <c r="DY15" i="4"/>
  <c r="EB15" i="4" s="1"/>
  <c r="DY10" i="4"/>
  <c r="EB10" i="4" s="1"/>
  <c r="DY16" i="4"/>
  <c r="EB16" i="4" s="1"/>
  <c r="DY13" i="4"/>
  <c r="EB13" i="4" s="1"/>
  <c r="DY18" i="4"/>
  <c r="EB18" i="4" s="1"/>
  <c r="DY19" i="4"/>
  <c r="EB19" i="4" s="1"/>
  <c r="DY9" i="4"/>
  <c r="EB9" i="4" s="1"/>
  <c r="DY12" i="4"/>
  <c r="EB12" i="4" s="1"/>
  <c r="DY20" i="4" l="1"/>
  <c r="DZ20" i="4" s="1"/>
  <c r="EB20" i="4" l="1"/>
  <c r="EC9" i="4" s="1"/>
  <c r="ED9" i="4" s="1"/>
  <c r="EC13" i="4" l="1"/>
  <c r="ED13" i="4" s="1"/>
  <c r="EC16" i="4"/>
  <c r="ED16" i="4" s="1"/>
  <c r="EC11" i="4"/>
  <c r="ED11" i="4" s="1"/>
  <c r="EC18" i="4"/>
  <c r="ED18" i="4" s="1"/>
  <c r="EC14" i="4"/>
  <c r="ED14" i="4" s="1"/>
  <c r="EC17" i="4"/>
  <c r="ED17" i="4" s="1"/>
  <c r="EC10" i="4"/>
  <c r="ED10" i="4" s="1"/>
  <c r="EA20" i="4" s="1"/>
  <c r="EE14" i="4" s="1"/>
  <c r="EF14" i="4" s="1"/>
  <c r="EC19" i="4"/>
  <c r="ED19" i="4" s="1"/>
  <c r="EC15" i="4"/>
  <c r="ED15" i="4" s="1"/>
  <c r="EC12" i="4"/>
  <c r="ED12" i="4" s="1"/>
  <c r="EE16" i="4" l="1"/>
  <c r="EF16" i="4" s="1"/>
  <c r="EE18" i="4"/>
  <c r="EF18" i="4" s="1"/>
  <c r="EE19" i="4"/>
  <c r="EF19" i="4" s="1"/>
  <c r="EE11" i="4"/>
  <c r="EF11" i="4" s="1"/>
  <c r="EE9" i="4"/>
  <c r="EF9" i="4" s="1"/>
  <c r="EE15" i="4"/>
  <c r="EF15" i="4" s="1"/>
  <c r="EE12" i="4"/>
  <c r="EF12" i="4" s="1"/>
  <c r="EE13" i="4"/>
  <c r="EF13" i="4" s="1"/>
  <c r="EE17" i="4"/>
  <c r="EF17" i="4" s="1"/>
  <c r="EE10" i="4"/>
  <c r="EF10" i="4" s="1"/>
  <c r="EF20" i="4" l="1"/>
  <c r="EG11" i="4" s="1"/>
  <c r="EJ11" i="4" s="1"/>
  <c r="EG14" i="4" l="1"/>
  <c r="EJ14" i="4" s="1"/>
  <c r="EG9" i="4"/>
  <c r="EJ9" i="4" s="1"/>
  <c r="EG12" i="4"/>
  <c r="EJ12" i="4" s="1"/>
  <c r="EG19" i="4"/>
  <c r="EJ19" i="4" s="1"/>
  <c r="EG13" i="4"/>
  <c r="EJ13" i="4" s="1"/>
  <c r="EG18" i="4"/>
  <c r="EJ18" i="4" s="1"/>
  <c r="EG17" i="4"/>
  <c r="EJ17" i="4" s="1"/>
  <c r="EG15" i="4"/>
  <c r="EJ15" i="4" s="1"/>
  <c r="EG16" i="4"/>
  <c r="EJ16" i="4" s="1"/>
  <c r="EG10" i="4"/>
  <c r="EJ10" i="4" s="1"/>
  <c r="EG20" i="4" l="1"/>
  <c r="EH20" i="4" l="1"/>
  <c r="EJ20" i="4"/>
  <c r="EK9" i="4" l="1"/>
  <c r="EL9" i="4" s="1"/>
  <c r="EK19" i="4"/>
  <c r="EL19" i="4" s="1"/>
  <c r="EK13" i="4"/>
  <c r="EL13" i="4" s="1"/>
  <c r="EK10" i="4"/>
  <c r="EL10" i="4" s="1"/>
  <c r="EK17" i="4"/>
  <c r="EL17" i="4" s="1"/>
  <c r="EK16" i="4"/>
  <c r="EL16" i="4" s="1"/>
  <c r="EK18" i="4"/>
  <c r="EL18" i="4" s="1"/>
  <c r="EK11" i="4"/>
  <c r="EL11" i="4" s="1"/>
  <c r="EK14" i="4"/>
  <c r="EL14" i="4" s="1"/>
  <c r="EK12" i="4"/>
  <c r="EL12" i="4" s="1"/>
  <c r="EK15" i="4"/>
  <c r="EL15" i="4" s="1"/>
  <c r="EI20" i="4" l="1"/>
  <c r="EM16" i="4" l="1"/>
  <c r="EN16" i="4" s="1"/>
  <c r="EM18" i="4"/>
  <c r="EN18" i="4" s="1"/>
  <c r="EM9" i="4"/>
  <c r="EN9" i="4" s="1"/>
  <c r="EM11" i="4"/>
  <c r="EN11" i="4" s="1"/>
  <c r="EM10" i="4"/>
  <c r="EN10" i="4" s="1"/>
  <c r="EM19" i="4"/>
  <c r="EN19" i="4" s="1"/>
  <c r="EM14" i="4"/>
  <c r="EN14" i="4" s="1"/>
  <c r="EM15" i="4"/>
  <c r="EN15" i="4" s="1"/>
  <c r="EM17" i="4"/>
  <c r="EN17" i="4" s="1"/>
  <c r="EM13" i="4"/>
  <c r="EN13" i="4" s="1"/>
  <c r="EM12" i="4"/>
  <c r="EN12" i="4" s="1"/>
  <c r="EN20" i="4" l="1"/>
  <c r="EO17" i="4" l="1"/>
  <c r="ER17" i="4" s="1"/>
  <c r="EO18" i="4"/>
  <c r="ER18" i="4" s="1"/>
  <c r="EO15" i="4"/>
  <c r="ER15" i="4" s="1"/>
  <c r="EO9" i="4"/>
  <c r="EO13" i="4"/>
  <c r="ER13" i="4" s="1"/>
  <c r="EO12" i="4"/>
  <c r="ER12" i="4" s="1"/>
  <c r="EO16" i="4"/>
  <c r="ER16" i="4" s="1"/>
  <c r="EO11" i="4"/>
  <c r="ER11" i="4" s="1"/>
  <c r="EO14" i="4"/>
  <c r="ER14" i="4" s="1"/>
  <c r="EO19" i="4"/>
  <c r="ER19" i="4" s="1"/>
  <c r="EO10" i="4"/>
  <c r="ER10" i="4" s="1"/>
  <c r="ER9" i="4" l="1"/>
  <c r="EO20" i="4"/>
  <c r="EP20" i="4" l="1"/>
  <c r="ER20" i="4"/>
  <c r="ES14" i="4" l="1"/>
  <c r="ET14" i="4" s="1"/>
  <c r="ES10" i="4"/>
  <c r="ET10" i="4" s="1"/>
  <c r="ES18" i="4"/>
  <c r="ET18" i="4" s="1"/>
  <c r="ES15" i="4"/>
  <c r="ET15" i="4" s="1"/>
  <c r="ES9" i="4"/>
  <c r="ET9" i="4" s="1"/>
  <c r="ES17" i="4"/>
  <c r="ET17" i="4" s="1"/>
  <c r="ES12" i="4"/>
  <c r="ET12" i="4" s="1"/>
  <c r="ES19" i="4"/>
  <c r="ET19" i="4" s="1"/>
  <c r="ES11" i="4"/>
  <c r="ET11" i="4" s="1"/>
  <c r="ES16" i="4"/>
  <c r="ET16" i="4" s="1"/>
  <c r="ES13" i="4"/>
  <c r="ET13" i="4" s="1"/>
  <c r="EQ20" i="4" l="1"/>
  <c r="EU12" i="4" s="1"/>
  <c r="EV12" i="4" s="1"/>
  <c r="EU16" i="4" l="1"/>
  <c r="EV16" i="4" s="1"/>
  <c r="EU18" i="4"/>
  <c r="EV18" i="4" s="1"/>
  <c r="EU17" i="4"/>
  <c r="EV17" i="4" s="1"/>
  <c r="EU11" i="4"/>
  <c r="EV11" i="4" s="1"/>
  <c r="EU9" i="4"/>
  <c r="EV9" i="4" s="1"/>
  <c r="EU10" i="4"/>
  <c r="EV10" i="4" s="1"/>
  <c r="EU15" i="4"/>
  <c r="EV15" i="4" s="1"/>
  <c r="EU19" i="4"/>
  <c r="EV19" i="4" s="1"/>
  <c r="EU13" i="4"/>
  <c r="EV13" i="4" s="1"/>
  <c r="EU14" i="4"/>
  <c r="EV14" i="4" s="1"/>
  <c r="EV20" i="4" l="1"/>
  <c r="EW17" i="4" s="1"/>
  <c r="EZ17" i="4" s="1"/>
  <c r="EW10" i="4" l="1"/>
  <c r="EZ10" i="4" s="1"/>
  <c r="EW12" i="4"/>
  <c r="EZ12" i="4" s="1"/>
  <c r="EW16" i="4"/>
  <c r="EZ16" i="4" s="1"/>
  <c r="EW11" i="4"/>
  <c r="EZ11" i="4" s="1"/>
  <c r="EW14" i="4"/>
  <c r="EZ14" i="4" s="1"/>
  <c r="EW18" i="4"/>
  <c r="EZ18" i="4" s="1"/>
  <c r="EW9" i="4"/>
  <c r="EW15" i="4"/>
  <c r="EZ15" i="4" s="1"/>
  <c r="EW19" i="4"/>
  <c r="EZ19" i="4" s="1"/>
  <c r="EW13" i="4"/>
  <c r="EZ13" i="4" s="1"/>
  <c r="EZ9" i="4"/>
  <c r="EW20" i="4" l="1"/>
  <c r="EX20" i="4" s="1"/>
  <c r="EZ20" i="4" l="1"/>
  <c r="FA9" i="4" s="1"/>
  <c r="FB9" i="4" s="1"/>
  <c r="FA15" i="4" l="1"/>
  <c r="FB15" i="4" s="1"/>
  <c r="FA14" i="4"/>
  <c r="FB14" i="4" s="1"/>
  <c r="FA13" i="4"/>
  <c r="FB13" i="4" s="1"/>
  <c r="FA17" i="4"/>
  <c r="FB17" i="4" s="1"/>
  <c r="FA11" i="4"/>
  <c r="FB11" i="4" s="1"/>
  <c r="FA16" i="4"/>
  <c r="FB16" i="4" s="1"/>
  <c r="FA19" i="4"/>
  <c r="FB19" i="4" s="1"/>
  <c r="FA10" i="4"/>
  <c r="FB10" i="4" s="1"/>
  <c r="FA18" i="4"/>
  <c r="FB18" i="4" s="1"/>
  <c r="FA12" i="4"/>
  <c r="FB12" i="4" s="1"/>
  <c r="EY20" i="4"/>
  <c r="FC10" i="4" s="1"/>
  <c r="FD10" i="4" s="1"/>
  <c r="FC12" i="4" l="1"/>
  <c r="FD12" i="4" s="1"/>
  <c r="FC9" i="4"/>
  <c r="FD9" i="4" s="1"/>
  <c r="FC13" i="4"/>
  <c r="FD13" i="4" s="1"/>
  <c r="FC11" i="4"/>
  <c r="FD11" i="4" s="1"/>
  <c r="FC17" i="4"/>
  <c r="FD17" i="4" s="1"/>
  <c r="FC19" i="4"/>
  <c r="FD19" i="4" s="1"/>
  <c r="FC18" i="4"/>
  <c r="FD18" i="4" s="1"/>
  <c r="FC16" i="4"/>
  <c r="FD16" i="4" s="1"/>
  <c r="FC14" i="4"/>
  <c r="FD14" i="4" s="1"/>
  <c r="FC15" i="4"/>
  <c r="FD15" i="4" s="1"/>
  <c r="FD20" i="4" l="1"/>
  <c r="FE18" i="4" s="1"/>
  <c r="FH18" i="4" s="1"/>
  <c r="FE16" i="4" l="1"/>
  <c r="FH16" i="4" s="1"/>
  <c r="FE17" i="4"/>
  <c r="FH17" i="4" s="1"/>
  <c r="FE9" i="4"/>
  <c r="FH9" i="4" s="1"/>
  <c r="FE11" i="4"/>
  <c r="FH11" i="4" s="1"/>
  <c r="FE15" i="4"/>
  <c r="FH15" i="4" s="1"/>
  <c r="FE12" i="4"/>
  <c r="FH12" i="4" s="1"/>
  <c r="FE14" i="4"/>
  <c r="FH14" i="4" s="1"/>
  <c r="FE13" i="4"/>
  <c r="FH13" i="4" s="1"/>
  <c r="FE19" i="4"/>
  <c r="FH19" i="4" s="1"/>
  <c r="FE10" i="4"/>
  <c r="FH10" i="4" s="1"/>
  <c r="FE20" i="4" l="1"/>
  <c r="FF20" i="4" s="1"/>
  <c r="FH20" i="4" l="1"/>
  <c r="FI19" i="4" s="1"/>
  <c r="FJ19" i="4" s="1"/>
  <c r="FI14" i="4" l="1"/>
  <c r="FJ14" i="4" s="1"/>
  <c r="FI10" i="4"/>
  <c r="FJ10" i="4" s="1"/>
  <c r="FI15" i="4"/>
  <c r="FJ15" i="4" s="1"/>
  <c r="FI9" i="4"/>
  <c r="FJ9" i="4" s="1"/>
  <c r="FI16" i="4"/>
  <c r="FJ16" i="4" s="1"/>
  <c r="FI17" i="4"/>
  <c r="FJ17" i="4" s="1"/>
  <c r="FI11" i="4"/>
  <c r="FJ11" i="4" s="1"/>
  <c r="FI12" i="4"/>
  <c r="FJ12" i="4" s="1"/>
  <c r="FI18" i="4"/>
  <c r="FJ18" i="4" s="1"/>
  <c r="FI13" i="4"/>
  <c r="FJ13" i="4" s="1"/>
  <c r="FG20" i="4" l="1"/>
  <c r="FK17" i="4" s="1"/>
  <c r="FL17" i="4" s="1"/>
  <c r="FK19" i="4" l="1"/>
  <c r="FL19" i="4" s="1"/>
  <c r="FK16" i="4"/>
  <c r="FL16" i="4" s="1"/>
  <c r="FK10" i="4"/>
  <c r="FL10" i="4" s="1"/>
  <c r="FK9" i="4"/>
  <c r="FL9" i="4" s="1"/>
  <c r="FK14" i="4"/>
  <c r="FL14" i="4" s="1"/>
  <c r="FK12" i="4"/>
  <c r="FL12" i="4" s="1"/>
  <c r="FK13" i="4"/>
  <c r="FL13" i="4" s="1"/>
  <c r="FK11" i="4"/>
  <c r="FL11" i="4" s="1"/>
  <c r="FK15" i="4"/>
  <c r="FL15" i="4" s="1"/>
  <c r="FK18" i="4"/>
  <c r="FL18" i="4" s="1"/>
  <c r="FL20" i="4" l="1"/>
  <c r="FM9" i="4" s="1"/>
  <c r="FN9" i="4" s="1"/>
  <c r="FM11" i="4" l="1"/>
  <c r="FN11" i="4" s="1"/>
  <c r="FO11" i="4" s="1"/>
  <c r="FR11" i="4" s="1"/>
  <c r="FS11" i="4" s="1"/>
  <c r="FM13" i="4"/>
  <c r="FN13" i="4" s="1"/>
  <c r="FO13" i="4" s="1"/>
  <c r="FR13" i="4" s="1"/>
  <c r="FS13" i="4" s="1"/>
  <c r="FM17" i="4"/>
  <c r="FN17" i="4" s="1"/>
  <c r="FO17" i="4" s="1"/>
  <c r="FR17" i="4" s="1"/>
  <c r="FS17" i="4" s="1"/>
  <c r="FM14" i="4"/>
  <c r="FN14" i="4" s="1"/>
  <c r="FO14" i="4" s="1"/>
  <c r="FR14" i="4" s="1"/>
  <c r="FS14" i="4" s="1"/>
  <c r="FM10" i="4"/>
  <c r="FN10" i="4" s="1"/>
  <c r="FO10" i="4" s="1"/>
  <c r="FR10" i="4" s="1"/>
  <c r="FS10" i="4" s="1"/>
  <c r="FM15" i="4"/>
  <c r="FN15" i="4" s="1"/>
  <c r="FO15" i="4" s="1"/>
  <c r="FR15" i="4" s="1"/>
  <c r="FS15" i="4" s="1"/>
  <c r="FM12" i="4"/>
  <c r="FN12" i="4" s="1"/>
  <c r="FO12" i="4" s="1"/>
  <c r="FR12" i="4" s="1"/>
  <c r="FS12" i="4" s="1"/>
  <c r="FM19" i="4"/>
  <c r="FN19" i="4" s="1"/>
  <c r="FO19" i="4" s="1"/>
  <c r="FR19" i="4" s="1"/>
  <c r="FS19" i="4" s="1"/>
  <c r="FM16" i="4"/>
  <c r="FN16" i="4" s="1"/>
  <c r="FO16" i="4" s="1"/>
  <c r="FR16" i="4" s="1"/>
  <c r="FS16" i="4" s="1"/>
  <c r="FM18" i="4"/>
  <c r="FN18" i="4" s="1"/>
  <c r="FO18" i="4" s="1"/>
  <c r="FR18" i="4" s="1"/>
  <c r="FS18" i="4" s="1"/>
  <c r="FO9" i="4"/>
  <c r="FR9" i="4" s="1"/>
  <c r="FN20" i="4" l="1"/>
  <c r="FO20" i="4" s="1"/>
  <c r="FP20" i="4" s="1"/>
  <c r="FM20" i="4"/>
  <c r="FS9" i="4"/>
  <c r="FS20" i="4" s="1"/>
  <c r="FR20" i="4"/>
  <c r="FT17" i="4" l="1"/>
  <c r="FT19" i="4"/>
  <c r="FT14" i="4"/>
  <c r="FT15" i="4"/>
  <c r="FT18" i="4"/>
  <c r="FT11" i="4"/>
  <c r="FT13" i="4"/>
  <c r="FT12" i="4"/>
  <c r="FT10" i="4"/>
  <c r="FT16" i="4"/>
  <c r="FT9" i="4"/>
  <c r="FU20" i="4" l="1"/>
  <c r="FT20" i="4"/>
</calcChain>
</file>

<file path=xl/sharedStrings.xml><?xml version="1.0" encoding="utf-8"?>
<sst xmlns="http://schemas.openxmlformats.org/spreadsheetml/2006/main" count="1179" uniqueCount="152">
  <si>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</si>
  <si>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</si>
  <si>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</si>
  <si>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</si>
  <si>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</si>
  <si>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</si>
  <si>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</si>
  <si>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</si>
  <si>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</si>
  <si>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</si>
  <si>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</si>
  <si>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</si>
  <si>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</si>
  <si>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</si>
  <si>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</si>
  <si>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</si>
  <si>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</si>
  <si>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</si>
  <si>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</si>
  <si>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</si>
  <si>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</si>
  <si>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</si>
  <si>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</si>
  <si>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</si>
  <si>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</si>
  <si>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</si>
  <si>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</si>
  <si>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</si>
  <si>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</si>
  <si>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</si>
  <si>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</si>
  <si>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</si>
  <si>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</si>
  <si>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</si>
  <si>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</si>
  <si>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</si>
  <si>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</si>
  <si>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</si>
  <si>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</si>
  <si>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</si>
  <si>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</si>
  <si>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</si>
  <si>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</si>
  <si>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</si>
  <si>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</si>
  <si>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</si>
  <si>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</si>
  <si>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</si>
  <si>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</si>
  <si>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</si>
  <si>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</si>
  <si>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</si>
  <si>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</si>
  <si>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</si>
  <si>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</si>
  <si>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</si>
  <si>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</si>
  <si>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</si>
  <si>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</si>
  <si>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</si>
  <si>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</si>
  <si>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</si>
  <si>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</si>
  <si>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</si>
  <si>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</si>
  <si>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</si>
  <si>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</si>
  <si>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</si>
  <si>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</si>
  <si>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</si>
  <si>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</si>
  <si>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</si>
  <si>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</si>
  <si>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</si>
  <si>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</si>
  <si>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</si>
  <si>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</si>
  <si>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</si>
  <si>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</si>
  <si>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</si>
  <si>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</si>
  <si>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</si>
  <si>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</si>
  <si>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</si>
  <si>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</si>
  <si>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</si>
  <si>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</si>
  <si>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</si>
  <si>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</si>
  <si>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</si>
  <si>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</si>
  <si>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</si>
  <si>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</si>
  <si>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</si>
  <si>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</si>
  <si>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</si>
  <si>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</si>
  <si>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</si>
  <si>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</si>
  <si>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</si>
  <si>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</si>
  <si>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</si>
  <si>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</si>
  <si>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</si>
  <si>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</si>
  <si>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</si>
  <si>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</si>
  <si>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</si>
  <si>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</si>
  <si>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</si>
  <si>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</si>
  <si>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</si>
  <si>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</si>
  <si>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</si>
  <si>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</si>
  <si>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</si>
  <si>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</si>
  <si>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</si>
  <si>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</si>
  <si>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</si>
  <si>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</si>
  <si>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</si>
  <si>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</si>
  <si>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</si>
  <si>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</si>
  <si>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</si>
  <si>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ФiуЗ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</si>
  <si>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</si>
  <si>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</si>
  <si>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</si>
  <si>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</si>
  <si>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</si>
  <si>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</si>
  <si>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</si>
  <si>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</si>
  <si>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</si>
  <si>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</si>
  <si>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</si>
  <si>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</si>
  <si>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</si>
  <si>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</si>
  <si>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</si>
  <si>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</si>
  <si>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ед.</t>
  </si>
  <si>
    <t>км</t>
  </si>
  <si>
    <t>кв. км</t>
  </si>
  <si>
    <t>Р2               Протяженность автомобильных дорог от районных центров до административных центров поселений</t>
  </si>
  <si>
    <t>Р1    Количество населенных пунктов в поселении</t>
  </si>
  <si>
    <t>Объем дотаций, утвержденный в решении о бюджете на 2019 год</t>
  </si>
  <si>
    <t xml:space="preserve">Р3               Группы поселений, исходя из численности населения </t>
  </si>
  <si>
    <t>2022 год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</si>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</sst>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  <fill>
      <patternFill patternType="solid">
        <fgColor rgb="FFFFFF00"/>
        <bgColor indexed="64"/>
      </patternFill>
    </fill>
  </fills>
  <borders count="1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</cellStyleXfs>
  <cellXfs count="33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28" xfId="0" applyNumberFormat="1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35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8" fillId="20" borderId="10" xfId="0" applyFont="1" applyFill="1" applyBorder="1" applyAlignment="1">
      <alignment horizontal="center" vertical="center"/>
    </xf>
    <xf numFmtId="167" fontId="18" fillId="0" borderId="10" xfId="0" applyNumberFormat="1" applyFont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0" fontId="18" fillId="20" borderId="39" xfId="0" applyFont="1" applyFill="1" applyBorder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20" borderId="3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3" fontId="22" fillId="0" borderId="62" xfId="0" applyNumberFormat="1" applyFont="1" applyFill="1" applyBorder="1" applyAlignment="1">
      <alignment horizontal="center" vertical="center" wrapText="1"/>
    </xf>
    <xf numFmtId="165" fontId="18" fillId="0" borderId="67" xfId="0" applyNumberFormat="1" applyFont="1" applyFill="1" applyBorder="1" applyAlignment="1">
      <alignment vertical="center"/>
    </xf>
    <xf numFmtId="165" fontId="18" fillId="0" borderId="71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72" xfId="0" applyFont="1" applyFill="1" applyBorder="1" applyAlignment="1">
      <alignment horizontal="center" vertical="center" textRotation="90" wrapText="1"/>
    </xf>
    <xf numFmtId="0" fontId="18" fillId="0" borderId="73" xfId="0" applyFont="1" applyFill="1" applyBorder="1" applyAlignment="1">
      <alignment horizontal="center" vertical="center" textRotation="90" wrapText="1"/>
    </xf>
    <xf numFmtId="0" fontId="18" fillId="0" borderId="55" xfId="0" applyFont="1" applyFill="1" applyBorder="1" applyAlignment="1">
      <alignment horizontal="center" vertical="center" wrapText="1"/>
    </xf>
    <xf numFmtId="0" fontId="18" fillId="27" borderId="55" xfId="0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 wrapText="1"/>
    </xf>
    <xf numFmtId="0" fontId="18" fillId="20" borderId="50" xfId="0" applyFont="1" applyFill="1" applyBorder="1" applyAlignment="1">
      <alignment horizontal="center" vertical="center"/>
    </xf>
    <xf numFmtId="0" fontId="18" fillId="20" borderId="51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86" xfId="0" applyFont="1" applyFill="1" applyBorder="1" applyAlignment="1">
      <alignment horizontal="center" vertical="center" textRotation="90" wrapText="1"/>
    </xf>
    <xf numFmtId="165" fontId="18" fillId="0" borderId="51" xfId="0" applyNumberFormat="1" applyFont="1" applyFill="1" applyBorder="1" applyAlignment="1">
      <alignment vertical="center"/>
    </xf>
    <xf numFmtId="0" fontId="18" fillId="0" borderId="97" xfId="0" applyFont="1" applyFill="1" applyBorder="1" applyAlignment="1">
      <alignment horizontal="center" vertical="center" wrapText="1"/>
    </xf>
    <xf numFmtId="168" fontId="18" fillId="0" borderId="67" xfId="0" applyNumberFormat="1" applyFont="1" applyBorder="1" applyAlignment="1">
      <alignment vertical="center"/>
    </xf>
    <xf numFmtId="0" fontId="18" fillId="20" borderId="48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18" fillId="20" borderId="87" xfId="0" applyFont="1" applyFill="1" applyBorder="1" applyAlignment="1">
      <alignment horizontal="center" vertical="center"/>
    </xf>
    <xf numFmtId="168" fontId="18" fillId="0" borderId="77" xfId="0" applyNumberFormat="1" applyFont="1" applyBorder="1" applyAlignment="1">
      <alignment vertical="center"/>
    </xf>
    <xf numFmtId="167" fontId="18" fillId="0" borderId="32" xfId="0" applyNumberFormat="1" applyFont="1" applyBorder="1" applyAlignment="1">
      <alignment vertical="center"/>
    </xf>
    <xf numFmtId="169" fontId="18" fillId="0" borderId="32" xfId="0" applyNumberFormat="1" applyFont="1" applyFill="1" applyBorder="1" applyAlignment="1">
      <alignment vertical="center"/>
    </xf>
    <xf numFmtId="165" fontId="18" fillId="0" borderId="32" xfId="0" applyNumberFormat="1" applyFont="1" applyFill="1" applyBorder="1" applyAlignment="1">
      <alignment vertical="center"/>
    </xf>
    <xf numFmtId="165" fontId="18" fillId="0" borderId="87" xfId="0" applyNumberFormat="1" applyFont="1" applyFill="1" applyBorder="1" applyAlignment="1">
      <alignment vertical="center"/>
    </xf>
    <xf numFmtId="0" fontId="18" fillId="20" borderId="14" xfId="0" applyFont="1" applyFill="1" applyBorder="1" applyAlignment="1">
      <alignment horizontal="center" vertical="center"/>
    </xf>
    <xf numFmtId="165" fontId="18" fillId="0" borderId="77" xfId="0" applyNumberFormat="1" applyFont="1" applyFill="1" applyBorder="1" applyAlignment="1">
      <alignment vertical="center"/>
    </xf>
    <xf numFmtId="165" fontId="18" fillId="0" borderId="78" xfId="0" applyNumberFormat="1" applyFont="1" applyFill="1" applyBorder="1" applyAlignment="1">
      <alignment vertical="center"/>
    </xf>
    <xf numFmtId="0" fontId="23" fillId="4" borderId="55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 wrapText="1"/>
    </xf>
    <xf numFmtId="0" fontId="23" fillId="4" borderId="107" xfId="0" applyFont="1" applyFill="1" applyBorder="1" applyAlignment="1">
      <alignment horizontal="center" vertical="center"/>
    </xf>
    <xf numFmtId="167" fontId="18" fillId="0" borderId="18" xfId="0" applyNumberFormat="1" applyFont="1" applyBorder="1" applyAlignment="1">
      <alignment vertical="center"/>
    </xf>
    <xf numFmtId="167" fontId="18" fillId="0" borderId="20" xfId="0" applyNumberFormat="1" applyFont="1" applyFill="1" applyBorder="1" applyAlignment="1">
      <alignment vertical="center"/>
    </xf>
    <xf numFmtId="0" fontId="18" fillId="20" borderId="95" xfId="0" applyFont="1" applyFill="1" applyBorder="1" applyAlignment="1">
      <alignment horizontal="center" vertical="center"/>
    </xf>
    <xf numFmtId="0" fontId="18" fillId="20" borderId="86" xfId="0" applyFont="1" applyFill="1" applyBorder="1" applyAlignment="1">
      <alignment horizontal="center" vertical="center"/>
    </xf>
    <xf numFmtId="168" fontId="18" fillId="0" borderId="74" xfId="0" applyNumberFormat="1" applyFont="1" applyBorder="1" applyAlignment="1">
      <alignment vertical="center"/>
    </xf>
    <xf numFmtId="167" fontId="18" fillId="0" borderId="37" xfId="0" applyNumberFormat="1" applyFont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5" fontId="18" fillId="0" borderId="37" xfId="0" applyNumberFormat="1" applyFont="1" applyFill="1" applyBorder="1" applyAlignment="1">
      <alignment vertical="center"/>
    </xf>
    <xf numFmtId="165" fontId="18" fillId="0" borderId="86" xfId="0" applyNumberFormat="1" applyFont="1" applyFill="1" applyBorder="1" applyAlignment="1">
      <alignment vertical="center"/>
    </xf>
    <xf numFmtId="0" fontId="18" fillId="20" borderId="73" xfId="0" applyFont="1" applyFill="1" applyBorder="1" applyAlignment="1">
      <alignment horizontal="center" vertical="center"/>
    </xf>
    <xf numFmtId="167" fontId="18" fillId="0" borderId="21" xfId="0" applyNumberFormat="1" applyFont="1" applyFill="1" applyBorder="1" applyAlignment="1">
      <alignment vertical="center"/>
    </xf>
    <xf numFmtId="165" fontId="18" fillId="0" borderId="75" xfId="0" applyNumberFormat="1" applyFont="1" applyFill="1" applyBorder="1" applyAlignment="1">
      <alignment vertical="center"/>
    </xf>
    <xf numFmtId="0" fontId="30" fillId="21" borderId="64" xfId="0" applyFont="1" applyFill="1" applyBorder="1" applyAlignment="1">
      <alignment wrapText="1"/>
    </xf>
    <xf numFmtId="167" fontId="21" fillId="21" borderId="110" xfId="0" applyNumberFormat="1" applyFont="1" applyFill="1" applyBorder="1" applyAlignment="1">
      <alignment horizontal="right" vertical="center"/>
    </xf>
    <xf numFmtId="165" fontId="21" fillId="21" borderId="110" xfId="0" applyNumberFormat="1" applyFont="1" applyFill="1" applyBorder="1" applyAlignment="1">
      <alignment horizontal="right" vertical="center"/>
    </xf>
    <xf numFmtId="167" fontId="21" fillId="21" borderId="111" xfId="0" applyNumberFormat="1" applyFont="1" applyFill="1" applyBorder="1" applyAlignment="1">
      <alignment horizontal="right" vertical="center"/>
    </xf>
    <xf numFmtId="168" fontId="21" fillId="21" borderId="109" xfId="0" applyNumberFormat="1" applyFont="1" applyFill="1" applyBorder="1" applyAlignment="1">
      <alignment horizontal="right" vertical="center"/>
    </xf>
    <xf numFmtId="4" fontId="21" fillId="21" borderId="109" xfId="0" applyNumberFormat="1" applyFont="1" applyFill="1" applyBorder="1" applyAlignment="1">
      <alignment horizontal="center" vertical="center"/>
    </xf>
    <xf numFmtId="4" fontId="21" fillId="21" borderId="110" xfId="0" applyNumberFormat="1" applyFont="1" applyFill="1" applyBorder="1" applyAlignment="1">
      <alignment horizontal="center" vertical="center"/>
    </xf>
    <xf numFmtId="172" fontId="31" fillId="21" borderId="110" xfId="0" applyNumberFormat="1" applyFont="1" applyFill="1" applyBorder="1" applyAlignment="1">
      <alignment horizontal="center" vertical="center"/>
    </xf>
    <xf numFmtId="173" fontId="21" fillId="21" borderId="110" xfId="0" applyNumberFormat="1" applyFont="1" applyFill="1" applyBorder="1" applyAlignment="1">
      <alignment horizontal="center" vertical="center"/>
    </xf>
    <xf numFmtId="165" fontId="21" fillId="21" borderId="111" xfId="0" applyNumberFormat="1" applyFont="1" applyFill="1" applyBorder="1" applyAlignment="1">
      <alignment horizontal="right" vertical="center"/>
    </xf>
    <xf numFmtId="165" fontId="21" fillId="21" borderId="109" xfId="0" applyNumberFormat="1" applyFont="1" applyFill="1" applyBorder="1" applyAlignment="1">
      <alignment horizontal="right" vertical="center"/>
    </xf>
    <xf numFmtId="167" fontId="21" fillId="21" borderId="110" xfId="0" applyNumberFormat="1" applyFont="1" applyFill="1" applyBorder="1" applyAlignment="1">
      <alignment vertical="center"/>
    </xf>
    <xf numFmtId="165" fontId="21" fillId="21" borderId="112" xfId="0" applyNumberFormat="1" applyFont="1" applyFill="1" applyBorder="1" applyAlignment="1">
      <alignment horizontal="right" vertical="center"/>
    </xf>
    <xf numFmtId="165" fontId="21" fillId="21" borderId="113" xfId="0" applyNumberFormat="1" applyFont="1" applyFill="1" applyBorder="1" applyAlignment="1">
      <alignment horizontal="right" vertical="center"/>
    </xf>
    <xf numFmtId="167" fontId="21" fillId="21" borderId="94" xfId="0" applyNumberFormat="1" applyFont="1" applyFill="1" applyBorder="1" applyAlignment="1">
      <alignment horizontal="right" vertical="center"/>
    </xf>
    <xf numFmtId="165" fontId="21" fillId="28" borderId="114" xfId="0" applyNumberFormat="1" applyFont="1" applyFill="1" applyBorder="1" applyAlignment="1">
      <alignment horizontal="right" vertical="center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33" fillId="0" borderId="104" xfId="0" applyFont="1" applyBorder="1" applyAlignment="1">
      <alignment horizontal="center" vertical="center" wrapText="1"/>
    </xf>
    <xf numFmtId="0" fontId="33" fillId="0" borderId="105" xfId="0" applyFont="1" applyBorder="1" applyAlignment="1">
      <alignment horizontal="center" vertical="center" wrapText="1"/>
    </xf>
    <xf numFmtId="0" fontId="33" fillId="0" borderId="106" xfId="0" applyFont="1" applyBorder="1" applyAlignment="1">
      <alignment horizontal="center" vertical="center" wrapText="1"/>
    </xf>
    <xf numFmtId="0" fontId="33" fillId="0" borderId="10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7" borderId="59" xfId="0" applyFont="1" applyFill="1" applyBorder="1" applyAlignment="1">
      <alignment horizontal="center" vertical="center" wrapText="1"/>
    </xf>
    <xf numFmtId="0" fontId="18" fillId="27" borderId="53" xfId="0" applyFont="1" applyFill="1" applyBorder="1" applyAlignment="1">
      <alignment horizontal="center" vertical="center" wrapText="1"/>
    </xf>
    <xf numFmtId="165" fontId="18" fillId="0" borderId="74" xfId="0" applyNumberFormat="1" applyFont="1" applyFill="1" applyBorder="1" applyAlignment="1">
      <alignment vertical="center"/>
    </xf>
    <xf numFmtId="165" fontId="21" fillId="28" borderId="64" xfId="0" applyNumberFormat="1" applyFont="1" applyFill="1" applyBorder="1" applyAlignment="1">
      <alignment horizontal="right" vertical="center"/>
    </xf>
    <xf numFmtId="3" fontId="26" fillId="0" borderId="121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23" fillId="4" borderId="124" xfId="0" applyFont="1" applyFill="1" applyBorder="1" applyAlignment="1">
      <alignment horizontal="center" vertical="center"/>
    </xf>
    <xf numFmtId="0" fontId="23" fillId="4" borderId="94" xfId="0" applyFont="1" applyFill="1" applyBorder="1" applyAlignment="1">
      <alignment horizontal="center" vertical="center"/>
    </xf>
    <xf numFmtId="164" fontId="23" fillId="4" borderId="62" xfId="0" applyNumberFormat="1" applyFont="1" applyFill="1" applyBorder="1" applyAlignment="1">
      <alignment horizontal="center" vertical="center"/>
    </xf>
    <xf numFmtId="164" fontId="23" fillId="4" borderId="114" xfId="0" applyNumberFormat="1" applyFont="1" applyFill="1" applyBorder="1" applyAlignment="1">
      <alignment horizontal="center" vertical="center"/>
    </xf>
    <xf numFmtId="3" fontId="22" fillId="0" borderId="124" xfId="0" applyNumberFormat="1" applyFont="1" applyFill="1" applyBorder="1" applyAlignment="1">
      <alignment horizontal="center" vertical="center" wrapText="1"/>
    </xf>
    <xf numFmtId="3" fontId="22" fillId="0" borderId="94" xfId="0" applyNumberFormat="1" applyFont="1" applyFill="1" applyBorder="1" applyAlignment="1">
      <alignment horizontal="center" vertical="center" wrapText="1"/>
    </xf>
    <xf numFmtId="3" fontId="22" fillId="0" borderId="114" xfId="0" applyNumberFormat="1" applyFont="1" applyFill="1" applyBorder="1" applyAlignment="1">
      <alignment horizontal="center" vertical="center" wrapText="1"/>
    </xf>
    <xf numFmtId="0" fontId="21" fillId="21" borderId="124" xfId="0" applyFont="1" applyFill="1" applyBorder="1" applyAlignment="1">
      <alignment vertical="center"/>
    </xf>
    <xf numFmtId="0" fontId="21" fillId="21" borderId="94" xfId="0" applyFont="1" applyFill="1" applyBorder="1" applyAlignment="1">
      <alignment vertical="center"/>
    </xf>
    <xf numFmtId="4" fontId="21" fillId="21" borderId="11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4" fontId="21" fillId="21" borderId="94" xfId="0" applyNumberFormat="1" applyFont="1" applyFill="1" applyBorder="1" applyAlignment="1">
      <alignment horizontal="center" vertical="center"/>
    </xf>
    <xf numFmtId="3" fontId="22" fillId="0" borderId="64" xfId="0" applyNumberFormat="1" applyFont="1" applyFill="1" applyBorder="1" applyAlignment="1">
      <alignment horizontal="center" vertical="center" wrapText="1"/>
    </xf>
    <xf numFmtId="0" fontId="21" fillId="29" borderId="28" xfId="0" applyFont="1" applyFill="1" applyBorder="1" applyAlignment="1">
      <alignment horizontal="center" vertical="center"/>
    </xf>
    <xf numFmtId="0" fontId="21" fillId="29" borderId="98" xfId="0" applyFont="1" applyFill="1" applyBorder="1" applyAlignment="1">
      <alignment vertical="center"/>
    </xf>
    <xf numFmtId="167" fontId="21" fillId="30" borderId="17" xfId="0" applyNumberFormat="1" applyFont="1" applyFill="1" applyBorder="1" applyAlignment="1">
      <alignment horizontal="center" vertical="center" wrapText="1"/>
    </xf>
    <xf numFmtId="0" fontId="18" fillId="31" borderId="45" xfId="0" applyFont="1" applyFill="1" applyBorder="1" applyAlignment="1">
      <alignment horizontal="center" vertical="center"/>
    </xf>
    <xf numFmtId="0" fontId="18" fillId="31" borderId="42" xfId="0" applyFont="1" applyFill="1" applyBorder="1" applyAlignment="1">
      <alignment horizontal="center" vertical="center"/>
    </xf>
    <xf numFmtId="0" fontId="18" fillId="31" borderId="43" xfId="0" applyFont="1" applyFill="1" applyBorder="1" applyAlignment="1">
      <alignment horizontal="center" vertical="center"/>
    </xf>
    <xf numFmtId="165" fontId="21" fillId="32" borderId="80" xfId="0" applyNumberFormat="1" applyFont="1" applyFill="1" applyBorder="1" applyAlignment="1">
      <alignment horizontal="right" vertical="center"/>
    </xf>
    <xf numFmtId="168" fontId="18" fillId="35" borderId="45" xfId="0" applyNumberFormat="1" applyFont="1" applyFill="1" applyBorder="1" applyAlignment="1">
      <alignment vertical="center"/>
    </xf>
    <xf numFmtId="168" fontId="18" fillId="35" borderId="42" xfId="0" applyNumberFormat="1" applyFont="1" applyFill="1" applyBorder="1" applyAlignment="1">
      <alignment vertical="center"/>
    </xf>
    <xf numFmtId="168" fontId="18" fillId="35" borderId="43" xfId="0" applyNumberFormat="1" applyFont="1" applyFill="1" applyBorder="1" applyAlignment="1">
      <alignment vertical="center"/>
    </xf>
    <xf numFmtId="168" fontId="21" fillId="35" borderId="80" xfId="0" applyNumberFormat="1" applyFont="1" applyFill="1" applyBorder="1" applyAlignment="1">
      <alignment vertical="center"/>
    </xf>
    <xf numFmtId="165" fontId="18" fillId="37" borderId="79" xfId="0" applyNumberFormat="1" applyFont="1" applyFill="1" applyBorder="1" applyAlignment="1">
      <alignment vertical="center"/>
    </xf>
    <xf numFmtId="165" fontId="18" fillId="37" borderId="69" xfId="0" applyNumberFormat="1" applyFont="1" applyFill="1" applyBorder="1" applyAlignment="1">
      <alignment vertical="center"/>
    </xf>
    <xf numFmtId="165" fontId="18" fillId="37" borderId="76" xfId="0" applyNumberFormat="1" applyFont="1" applyFill="1" applyBorder="1" applyAlignment="1">
      <alignment vertical="center"/>
    </xf>
    <xf numFmtId="165" fontId="21" fillId="38" borderId="63" xfId="0" applyNumberFormat="1" applyFont="1" applyFill="1" applyBorder="1" applyAlignment="1">
      <alignment horizontal="right" vertical="center"/>
    </xf>
    <xf numFmtId="0" fontId="33" fillId="27" borderId="103" xfId="0" applyFont="1" applyFill="1" applyBorder="1" applyAlignment="1">
      <alignment horizontal="center" vertical="center" wrapText="1"/>
    </xf>
    <xf numFmtId="3" fontId="26" fillId="0" borderId="26" xfId="0" applyNumberFormat="1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167" fontId="21" fillId="30" borderId="23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167" fontId="21" fillId="30" borderId="98" xfId="0" applyNumberFormat="1" applyFont="1" applyFill="1" applyBorder="1" applyAlignment="1">
      <alignment horizontal="center" vertical="center" wrapText="1"/>
    </xf>
    <xf numFmtId="0" fontId="18" fillId="0" borderId="6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4" fontId="21" fillId="21" borderId="119" xfId="0" applyNumberFormat="1" applyFont="1" applyFill="1" applyBorder="1" applyAlignment="1">
      <alignment horizontal="center" vertical="center"/>
    </xf>
    <xf numFmtId="164" fontId="18" fillId="0" borderId="101" xfId="0" applyNumberFormat="1" applyFont="1" applyFill="1" applyBorder="1" applyAlignment="1">
      <alignment horizontal="center" vertical="center" wrapText="1"/>
    </xf>
    <xf numFmtId="164" fontId="18" fillId="0" borderId="102" xfId="0" applyNumberFormat="1" applyFont="1" applyFill="1" applyBorder="1" applyAlignment="1">
      <alignment horizontal="center" vertical="center" wrapText="1"/>
    </xf>
    <xf numFmtId="4" fontId="21" fillId="21" borderId="115" xfId="0" applyNumberFormat="1" applyFont="1" applyFill="1" applyBorder="1" applyAlignment="1">
      <alignment horizontal="center" vertical="center"/>
    </xf>
    <xf numFmtId="167" fontId="21" fillId="30" borderId="17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0" fontId="18" fillId="0" borderId="34" xfId="0" applyFont="1" applyFill="1" applyBorder="1" applyAlignment="1">
      <alignment horizontal="center" vertical="center" textRotation="90" wrapText="1"/>
    </xf>
    <xf numFmtId="0" fontId="18" fillId="0" borderId="52" xfId="0" applyFont="1" applyFill="1" applyBorder="1" applyAlignment="1">
      <alignment horizontal="center" vertical="center" textRotation="90" wrapText="1"/>
    </xf>
    <xf numFmtId="171" fontId="18" fillId="0" borderId="32" xfId="0" applyNumberFormat="1" applyFont="1" applyFill="1" applyBorder="1" applyAlignment="1">
      <alignment horizontal="right" vertical="center"/>
    </xf>
    <xf numFmtId="171" fontId="18" fillId="0" borderId="10" xfId="0" applyNumberFormat="1" applyFont="1" applyFill="1" applyBorder="1" applyAlignment="1">
      <alignment horizontal="right" vertical="center"/>
    </xf>
    <xf numFmtId="171" fontId="18" fillId="0" borderId="37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0" borderId="22" xfId="0" applyFont="1" applyFill="1" applyBorder="1" applyAlignment="1">
      <alignment horizontal="center" vertical="center" textRotation="90" wrapText="1"/>
    </xf>
    <xf numFmtId="171" fontId="18" fillId="0" borderId="14" xfId="0" applyNumberFormat="1" applyFont="1" applyFill="1" applyBorder="1" applyAlignment="1">
      <alignment horizontal="center" vertical="center"/>
    </xf>
    <xf numFmtId="171" fontId="18" fillId="0" borderId="39" xfId="0" applyNumberFormat="1" applyFont="1" applyFill="1" applyBorder="1" applyAlignment="1">
      <alignment horizontal="center" vertical="center"/>
    </xf>
    <xf numFmtId="171" fontId="18" fillId="0" borderId="73" xfId="0" applyNumberFormat="1" applyFont="1" applyFill="1" applyBorder="1" applyAlignment="1">
      <alignment horizontal="center" vertical="center"/>
    </xf>
    <xf numFmtId="0" fontId="18" fillId="40" borderId="37" xfId="0" applyFont="1" applyFill="1" applyBorder="1" applyAlignment="1">
      <alignment horizontal="center" vertical="center" textRotation="90" wrapText="1"/>
    </xf>
    <xf numFmtId="166" fontId="18" fillId="0" borderId="32" xfId="0" applyNumberFormat="1" applyFont="1" applyBorder="1" applyAlignment="1">
      <alignment vertical="center"/>
    </xf>
    <xf numFmtId="166" fontId="18" fillId="0" borderId="10" xfId="0" applyNumberFormat="1" applyFont="1" applyBorder="1" applyAlignment="1">
      <alignment vertical="center"/>
    </xf>
    <xf numFmtId="166" fontId="18" fillId="0" borderId="37" xfId="0" applyNumberFormat="1" applyFont="1" applyBorder="1" applyAlignment="1">
      <alignment vertical="center"/>
    </xf>
    <xf numFmtId="167" fontId="21" fillId="21" borderId="110" xfId="0" applyNumberFormat="1" applyFont="1" applyFill="1" applyBorder="1" applyAlignment="1">
      <alignment horizontal="center" vertical="center"/>
    </xf>
    <xf numFmtId="164" fontId="18" fillId="0" borderId="106" xfId="0" applyNumberFormat="1" applyFont="1" applyFill="1" applyBorder="1" applyAlignment="1">
      <alignment horizontal="center" vertical="center" wrapText="1"/>
    </xf>
    <xf numFmtId="3" fontId="22" fillId="0" borderId="129" xfId="0" applyNumberFormat="1" applyFont="1" applyFill="1" applyBorder="1" applyAlignment="1">
      <alignment horizontal="center" vertical="center" wrapText="1"/>
    </xf>
    <xf numFmtId="0" fontId="23" fillId="4" borderId="129" xfId="0" applyFont="1" applyFill="1" applyBorder="1" applyAlignment="1">
      <alignment horizontal="center" vertical="center"/>
    </xf>
    <xf numFmtId="4" fontId="21" fillId="21" borderId="129" xfId="0" applyNumberFormat="1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 wrapText="1"/>
    </xf>
    <xf numFmtId="0" fontId="18" fillId="0" borderId="132" xfId="0" applyFont="1" applyFill="1" applyBorder="1" applyAlignment="1">
      <alignment horizontal="center" vertical="center" textRotation="90" wrapText="1"/>
    </xf>
    <xf numFmtId="4" fontId="18" fillId="0" borderId="14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168" fontId="18" fillId="0" borderId="45" xfId="0" applyNumberFormat="1" applyFont="1" applyFill="1" applyBorder="1" applyAlignment="1">
      <alignment vertical="center"/>
    </xf>
    <xf numFmtId="168" fontId="18" fillId="0" borderId="42" xfId="0" applyNumberFormat="1" applyFont="1" applyFill="1" applyBorder="1" applyAlignment="1">
      <alignment vertical="center"/>
    </xf>
    <xf numFmtId="168" fontId="18" fillId="0" borderId="43" xfId="0" applyNumberFormat="1" applyFont="1" applyFill="1" applyBorder="1" applyAlignment="1">
      <alignment vertical="center"/>
    </xf>
    <xf numFmtId="168" fontId="21" fillId="21" borderId="80" xfId="0" applyNumberFormat="1" applyFont="1" applyFill="1" applyBorder="1" applyAlignment="1">
      <alignment vertical="center"/>
    </xf>
    <xf numFmtId="168" fontId="18" fillId="0" borderId="133" xfId="0" applyNumberFormat="1" applyFont="1" applyBorder="1" applyAlignment="1">
      <alignment vertical="center"/>
    </xf>
    <xf numFmtId="168" fontId="18" fillId="0" borderId="134" xfId="0" applyNumberFormat="1" applyFont="1" applyBorder="1" applyAlignment="1">
      <alignment vertical="center"/>
    </xf>
    <xf numFmtId="168" fontId="18" fillId="0" borderId="135" xfId="0" applyNumberFormat="1" applyFont="1" applyBorder="1" applyAlignment="1">
      <alignment vertical="center"/>
    </xf>
    <xf numFmtId="167" fontId="21" fillId="21" borderId="113" xfId="0" applyNumberFormat="1" applyFont="1" applyFill="1" applyBorder="1" applyAlignment="1">
      <alignment horizontal="right" vertical="center"/>
    </xf>
    <xf numFmtId="170" fontId="18" fillId="0" borderId="79" xfId="0" applyNumberFormat="1" applyFont="1" applyBorder="1" applyAlignment="1">
      <alignment vertical="center"/>
    </xf>
    <xf numFmtId="170" fontId="18" fillId="0" borderId="69" xfId="0" applyNumberFormat="1" applyFont="1" applyBorder="1" applyAlignment="1">
      <alignment vertical="center"/>
    </xf>
    <xf numFmtId="170" fontId="18" fillId="0" borderId="76" xfId="0" applyNumberFormat="1" applyFont="1" applyBorder="1" applyAlignment="1">
      <alignment vertical="center"/>
    </xf>
    <xf numFmtId="166" fontId="21" fillId="21" borderId="63" xfId="0" applyNumberFormat="1" applyFont="1" applyFill="1" applyBorder="1" applyAlignment="1">
      <alignment horizontal="center" vertical="center" wrapText="1"/>
    </xf>
    <xf numFmtId="167" fontId="31" fillId="0" borderId="109" xfId="0" applyNumberFormat="1" applyFont="1" applyFill="1" applyBorder="1" applyAlignment="1">
      <alignment horizontal="right" vertical="center"/>
    </xf>
    <xf numFmtId="165" fontId="31" fillId="0" borderId="110" xfId="0" applyNumberFormat="1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166" fontId="18" fillId="0" borderId="45" xfId="0" applyNumberFormat="1" applyFont="1" applyFill="1" applyBorder="1" applyAlignment="1">
      <alignment horizontal="center" vertical="center" wrapText="1"/>
    </xf>
    <xf numFmtId="0" fontId="22" fillId="0" borderId="89" xfId="0" applyFont="1" applyFill="1" applyBorder="1" applyAlignment="1" applyProtection="1">
      <alignment wrapText="1"/>
    </xf>
    <xf numFmtId="0" fontId="22" fillId="0" borderId="107" xfId="0" applyFont="1" applyFill="1" applyBorder="1" applyAlignment="1" applyProtection="1">
      <alignment wrapText="1"/>
    </xf>
    <xf numFmtId="171" fontId="18" fillId="42" borderId="32" xfId="0" applyNumberFormat="1" applyFont="1" applyFill="1" applyBorder="1" applyAlignment="1">
      <alignment horizontal="center" vertical="center"/>
    </xf>
    <xf numFmtId="171" fontId="18" fillId="42" borderId="10" xfId="0" applyNumberFormat="1" applyFont="1" applyFill="1" applyBorder="1" applyAlignment="1">
      <alignment horizontal="center" vertical="center"/>
    </xf>
    <xf numFmtId="171" fontId="18" fillId="42" borderId="37" xfId="0" applyNumberFormat="1" applyFont="1" applyFill="1" applyBorder="1" applyAlignment="1">
      <alignment horizontal="center" vertical="center"/>
    </xf>
    <xf numFmtId="0" fontId="18" fillId="0" borderId="137" xfId="0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center"/>
    </xf>
    <xf numFmtId="164" fontId="23" fillId="4" borderId="64" xfId="0" applyNumberFormat="1" applyFont="1" applyFill="1" applyBorder="1" applyAlignment="1">
      <alignment horizontal="center" vertical="center"/>
    </xf>
    <xf numFmtId="4" fontId="21" fillId="21" borderId="64" xfId="0" applyNumberFormat="1" applyFont="1" applyFill="1" applyBorder="1" applyAlignment="1">
      <alignment horizontal="center" vertical="center"/>
    </xf>
    <xf numFmtId="166" fontId="18" fillId="27" borderId="45" xfId="0" applyNumberFormat="1" applyFont="1" applyFill="1" applyBorder="1" applyAlignment="1">
      <alignment horizontal="center" vertical="center" wrapText="1"/>
    </xf>
    <xf numFmtId="4" fontId="18" fillId="27" borderId="131" xfId="0" applyNumberFormat="1" applyFont="1" applyFill="1" applyBorder="1" applyAlignment="1">
      <alignment horizontal="center" vertical="center"/>
    </xf>
    <xf numFmtId="4" fontId="18" fillId="27" borderId="137" xfId="0" applyNumberFormat="1" applyFont="1" applyFill="1" applyBorder="1" applyAlignment="1">
      <alignment horizontal="center" vertical="center"/>
    </xf>
    <xf numFmtId="4" fontId="18" fillId="27" borderId="139" xfId="0" applyNumberFormat="1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167" fontId="18" fillId="27" borderId="118" xfId="0" applyNumberFormat="1" applyFont="1" applyFill="1" applyBorder="1" applyAlignment="1">
      <alignment horizontal="center" vertical="center" wrapText="1"/>
    </xf>
    <xf numFmtId="167" fontId="18" fillId="27" borderId="55" xfId="0" applyNumberFormat="1" applyFont="1" applyFill="1" applyBorder="1" applyAlignment="1">
      <alignment horizontal="center" vertical="center" wrapText="1"/>
    </xf>
    <xf numFmtId="3" fontId="26" fillId="0" borderId="140" xfId="0" applyNumberFormat="1" applyFont="1" applyFill="1" applyBorder="1" applyAlignment="1">
      <alignment horizontal="center" vertical="center" wrapText="1"/>
    </xf>
    <xf numFmtId="0" fontId="23" fillId="4" borderId="80" xfId="0" applyFont="1" applyFill="1" applyBorder="1" applyAlignment="1">
      <alignment horizontal="center" vertical="center" wrapText="1"/>
    </xf>
    <xf numFmtId="164" fontId="18" fillId="0" borderId="128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0" borderId="57" xfId="0" applyNumberFormat="1" applyFont="1" applyFill="1" applyBorder="1" applyAlignment="1">
      <alignment horizontal="center" vertical="center"/>
    </xf>
    <xf numFmtId="166" fontId="18" fillId="27" borderId="123" xfId="0" applyNumberFormat="1" applyFont="1" applyFill="1" applyBorder="1" applyAlignment="1">
      <alignment horizontal="center" vertical="center" wrapText="1"/>
    </xf>
    <xf numFmtId="166" fontId="18" fillId="27" borderId="126" xfId="0" applyNumberFormat="1" applyFont="1" applyFill="1" applyBorder="1" applyAlignment="1">
      <alignment horizontal="center" vertical="center" wrapText="1"/>
    </xf>
    <xf numFmtId="166" fontId="18" fillId="27" borderId="56" xfId="0" applyNumberFormat="1" applyFont="1" applyFill="1" applyBorder="1" applyAlignment="1">
      <alignment horizontal="center" vertical="center" wrapText="1"/>
    </xf>
    <xf numFmtId="166" fontId="18" fillId="27" borderId="57" xfId="0" applyNumberFormat="1" applyFont="1" applyFill="1" applyBorder="1" applyAlignment="1">
      <alignment horizontal="center" vertical="center" wrapText="1"/>
    </xf>
    <xf numFmtId="172" fontId="18" fillId="27" borderId="55" xfId="0" applyNumberFormat="1" applyFont="1" applyFill="1" applyBorder="1"/>
    <xf numFmtId="172" fontId="18" fillId="27" borderId="60" xfId="0" applyNumberFormat="1" applyFont="1" applyFill="1" applyBorder="1"/>
    <xf numFmtId="172" fontId="18" fillId="27" borderId="58" xfId="0" applyNumberFormat="1" applyFont="1" applyFill="1" applyBorder="1"/>
    <xf numFmtId="168" fontId="34" fillId="27" borderId="55" xfId="0" applyNumberFormat="1" applyFont="1" applyFill="1" applyBorder="1" applyAlignment="1">
      <alignment horizontal="center" vertical="center"/>
    </xf>
    <xf numFmtId="165" fontId="34" fillId="27" borderId="136" xfId="0" applyNumberFormat="1" applyFont="1" applyFill="1" applyBorder="1" applyAlignment="1">
      <alignment horizontal="center" vertical="center"/>
    </xf>
    <xf numFmtId="165" fontId="18" fillId="27" borderId="123" xfId="0" applyNumberFormat="1" applyFont="1" applyFill="1" applyBorder="1" applyAlignment="1">
      <alignment horizontal="center" vertical="center" wrapText="1"/>
    </xf>
    <xf numFmtId="165" fontId="18" fillId="27" borderId="128" xfId="0" applyNumberFormat="1" applyFont="1" applyFill="1" applyBorder="1" applyAlignment="1">
      <alignment horizontal="center" vertical="center" wrapText="1"/>
    </xf>
    <xf numFmtId="0" fontId="23" fillId="4" borderId="14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90" xfId="0" applyFont="1" applyFill="1" applyBorder="1" applyAlignment="1">
      <alignment horizontal="center" wrapText="1"/>
    </xf>
    <xf numFmtId="0" fontId="0" fillId="0" borderId="131" xfId="0" applyBorder="1"/>
    <xf numFmtId="0" fontId="21" fillId="0" borderId="9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0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89" xfId="0" applyFont="1" applyFill="1" applyBorder="1" applyAlignment="1">
      <alignment horizontal="center" vertical="center" wrapText="1"/>
    </xf>
    <xf numFmtId="0" fontId="21" fillId="0" borderId="9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20" xfId="0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3" fillId="4" borderId="120" xfId="0" applyFont="1" applyFill="1" applyBorder="1" applyAlignment="1">
      <alignment horizontal="center" vertical="center" wrapText="1"/>
    </xf>
    <xf numFmtId="0" fontId="23" fillId="4" borderId="46" xfId="0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textRotation="90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1" fillId="3" borderId="84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2" xfId="0" applyFont="1" applyFill="1" applyBorder="1" applyAlignment="1">
      <alignment horizontal="center" vertical="center" wrapText="1"/>
    </xf>
    <xf numFmtId="0" fontId="21" fillId="3" borderId="83" xfId="0" applyFont="1" applyFill="1" applyBorder="1" applyAlignment="1">
      <alignment horizontal="center" vertical="center" wrapText="1"/>
    </xf>
    <xf numFmtId="0" fontId="29" fillId="0" borderId="37" xfId="0" applyFont="1" applyFill="1" applyBorder="1" applyAlignment="1">
      <alignment horizontal="center" vertical="center" textRotation="90" wrapText="1"/>
    </xf>
    <xf numFmtId="0" fontId="29" fillId="0" borderId="86" xfId="0" applyFont="1" applyFill="1" applyBorder="1" applyAlignment="1">
      <alignment horizontal="center" vertical="center" textRotation="90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51" xfId="0" applyFont="1" applyFill="1" applyBorder="1" applyAlignment="1">
      <alignment horizontal="center" vertical="center" wrapText="1"/>
    </xf>
    <xf numFmtId="0" fontId="21" fillId="41" borderId="90" xfId="0" applyFont="1" applyFill="1" applyBorder="1" applyAlignment="1">
      <alignment horizontal="center" vertical="center" wrapText="1"/>
    </xf>
    <xf numFmtId="0" fontId="21" fillId="41" borderId="91" xfId="0" applyFont="1" applyFill="1" applyBorder="1" applyAlignment="1">
      <alignment horizontal="center" vertical="center" wrapText="1"/>
    </xf>
    <xf numFmtId="0" fontId="21" fillId="41" borderId="92" xfId="0" applyFont="1" applyFill="1" applyBorder="1" applyAlignment="1">
      <alignment horizontal="center" vertical="center" wrapText="1"/>
    </xf>
    <xf numFmtId="0" fontId="18" fillId="36" borderId="68" xfId="0" applyFont="1" applyFill="1" applyBorder="1" applyAlignment="1">
      <alignment horizontal="center" vertical="center" textRotation="90" wrapText="1"/>
    </xf>
    <xf numFmtId="0" fontId="18" fillId="36" borderId="69" xfId="0" applyFont="1" applyFill="1" applyBorder="1" applyAlignment="1">
      <alignment horizontal="center" vertical="center" textRotation="90" wrapText="1"/>
    </xf>
    <xf numFmtId="0" fontId="18" fillId="36" borderId="76" xfId="0" applyFont="1" applyFill="1" applyBorder="1" applyAlignment="1">
      <alignment horizontal="center" vertical="center" textRotation="90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32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87" xfId="0" applyFont="1" applyFill="1" applyBorder="1" applyAlignment="1">
      <alignment horizontal="center" vertical="center" wrapText="1"/>
    </xf>
    <xf numFmtId="0" fontId="21" fillId="25" borderId="77" xfId="0" applyFont="1" applyFill="1" applyBorder="1" applyAlignment="1">
      <alignment horizontal="center" vertical="center" wrapText="1"/>
    </xf>
    <xf numFmtId="0" fontId="21" fillId="39" borderId="18" xfId="0" applyFont="1" applyFill="1" applyBorder="1" applyAlignment="1">
      <alignment horizontal="center" vertical="center" textRotation="90" wrapText="1"/>
    </xf>
    <xf numFmtId="0" fontId="21" fillId="39" borderId="44" xfId="0" applyFont="1" applyFill="1" applyBorder="1" applyAlignment="1">
      <alignment horizontal="center" vertical="center" textRotation="90" wrapText="1"/>
    </xf>
    <xf numFmtId="0" fontId="21" fillId="25" borderId="96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31" xfId="0" applyFont="1" applyFill="1" applyBorder="1" applyAlignment="1">
      <alignment horizontal="center" vertical="center" wrapText="1"/>
    </xf>
    <xf numFmtId="0" fontId="18" fillId="26" borderId="66" xfId="0" applyFont="1" applyFill="1" applyBorder="1" applyAlignment="1">
      <alignment horizontal="center" vertical="center" textRotation="90" wrapText="1"/>
    </xf>
    <xf numFmtId="0" fontId="18" fillId="26" borderId="67" xfId="0" applyFont="1" applyFill="1" applyBorder="1" applyAlignment="1">
      <alignment horizontal="center" vertical="center" textRotation="90" wrapText="1"/>
    </xf>
    <xf numFmtId="0" fontId="18" fillId="26" borderId="74" xfId="0" applyFont="1" applyFill="1" applyBorder="1" applyAlignment="1">
      <alignment horizontal="center" vertical="center" textRotation="90" wrapText="1"/>
    </xf>
    <xf numFmtId="0" fontId="18" fillId="26" borderId="70" xfId="0" applyFont="1" applyFill="1" applyBorder="1" applyAlignment="1">
      <alignment horizontal="center" vertical="center" textRotation="90" wrapText="1"/>
    </xf>
    <xf numFmtId="0" fontId="18" fillId="26" borderId="71" xfId="0" applyFont="1" applyFill="1" applyBorder="1" applyAlignment="1">
      <alignment horizontal="center" vertical="center" textRotation="90" wrapText="1"/>
    </xf>
    <xf numFmtId="0" fontId="18" fillId="26" borderId="75" xfId="0" applyFont="1" applyFill="1" applyBorder="1" applyAlignment="1">
      <alignment horizontal="center" vertical="center" textRotation="90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1" fillId="25" borderId="14" xfId="0" applyFont="1" applyFill="1" applyBorder="1" applyAlignment="1">
      <alignment horizontal="center" vertical="center" wrapText="1"/>
    </xf>
    <xf numFmtId="0" fontId="21" fillId="25" borderId="49" xfId="0" applyFont="1" applyFill="1" applyBorder="1" applyAlignment="1">
      <alignment horizontal="center" vertical="center" wrapText="1"/>
    </xf>
    <xf numFmtId="0" fontId="18" fillId="26" borderId="116" xfId="0" applyFont="1" applyFill="1" applyBorder="1" applyAlignment="1">
      <alignment horizontal="center" vertical="center" textRotation="90" wrapText="1"/>
    </xf>
    <xf numFmtId="0" fontId="18" fillId="26" borderId="117" xfId="0" applyFont="1" applyFill="1" applyBorder="1" applyAlignment="1">
      <alignment horizontal="center" vertical="center" textRotation="90" wrapText="1"/>
    </xf>
    <xf numFmtId="0" fontId="18" fillId="26" borderId="118" xfId="0" applyFont="1" applyFill="1" applyBorder="1" applyAlignment="1">
      <alignment horizontal="center" vertical="center" textRotation="90" wrapText="1"/>
    </xf>
    <xf numFmtId="0" fontId="21" fillId="3" borderId="64" xfId="0" applyFont="1" applyFill="1" applyBorder="1" applyAlignment="1">
      <alignment horizontal="left" vertical="center" wrapText="1"/>
    </xf>
    <xf numFmtId="0" fontId="21" fillId="3" borderId="94" xfId="0" applyFont="1" applyFill="1" applyBorder="1" applyAlignment="1">
      <alignment horizontal="left" vertical="center" wrapText="1"/>
    </xf>
    <xf numFmtId="0" fontId="21" fillId="3" borderId="65" xfId="0" applyFont="1" applyFill="1" applyBorder="1" applyAlignment="1">
      <alignment horizontal="left" vertical="center" wrapText="1"/>
    </xf>
    <xf numFmtId="0" fontId="21" fillId="25" borderId="89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 textRotation="90" wrapText="1"/>
    </xf>
    <xf numFmtId="0" fontId="18" fillId="34" borderId="42" xfId="0" applyFont="1" applyFill="1" applyBorder="1" applyAlignment="1">
      <alignment horizontal="center" vertical="center" textRotation="90" wrapText="1"/>
    </xf>
    <xf numFmtId="0" fontId="18" fillId="34" borderId="43" xfId="0" applyFont="1" applyFill="1" applyBorder="1" applyAlignment="1">
      <alignment horizontal="center" vertical="center" textRotation="90" wrapText="1"/>
    </xf>
    <xf numFmtId="0" fontId="18" fillId="33" borderId="41" xfId="0" applyFont="1" applyFill="1" applyBorder="1" applyAlignment="1">
      <alignment horizontal="center" vertical="center" textRotation="90" wrapText="1"/>
    </xf>
    <xf numFmtId="0" fontId="18" fillId="33" borderId="42" xfId="0" applyFont="1" applyFill="1" applyBorder="1" applyAlignment="1">
      <alignment horizontal="center" vertical="center" textRotation="90" wrapText="1"/>
    </xf>
    <xf numFmtId="0" fontId="18" fillId="33" borderId="43" xfId="0" applyFont="1" applyFill="1" applyBorder="1" applyAlignment="1">
      <alignment horizontal="center" vertical="center" textRotation="90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22"/>
  <sheetViews>
    <sheetView tabSelected="1" view="pageBreakPreview" zoomScaleNormal="74" zoomScaleSheetLayoutView="100" workbookViewId="0">
      <selection activeCell="I7" sqref="I7"/>
    </sheetView>
  </sheetViews>
  <sheetFormatPr defaultRowHeight="15.75" x14ac:dyDescent="0.2"/>
  <cols>
    <col min="1" max="1" width="9.140625" style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/>
  </cols>
  <sheetData>
    <row r="2" spans="1:9" s="4" customFormat="1" ht="16.5" x14ac:dyDescent="0.2">
      <c r="B2" s="241" t="s">
        <v>0</v>
      </c>
      <c r="C2" s="241"/>
      <c r="D2" s="241"/>
      <c r="E2" s="241"/>
      <c r="F2" s="241"/>
      <c r="G2" s="241"/>
      <c r="H2" s="241"/>
    </row>
    <row r="3" spans="1:9" s="4" customFormat="1" ht="16.5" x14ac:dyDescent="0.2">
      <c r="B3" s="241"/>
      <c r="C3" s="241"/>
      <c r="D3" s="241"/>
      <c r="E3" s="241"/>
      <c r="F3" s="241"/>
      <c r="G3" s="241"/>
      <c r="H3" s="241"/>
    </row>
    <row r="4" spans="1:9" ht="16.5" thickBot="1" x14ac:dyDescent="0.25">
      <c r="B4" s="5"/>
      <c r="C4" s="6"/>
      <c r="D4" s="6"/>
    </row>
    <row r="5" spans="1:9" ht="49.5" customHeight="1" thickBot="1" x14ac:dyDescent="0.25">
      <c r="A5" s="253" t="s">
        <v>1</v>
      </c>
      <c r="B5" s="255" t="s">
        <v>2</v>
      </c>
      <c r="C5" s="257" t="s">
        <v>121</v>
      </c>
      <c r="D5" s="258"/>
      <c r="E5" s="244" t="s">
        <v>3</v>
      </c>
      <c r="F5" s="245"/>
      <c r="G5" s="245"/>
      <c r="H5" s="246"/>
      <c r="I5" s="242" t="s">
        <v>148</v>
      </c>
    </row>
    <row r="6" spans="1:9" s="7" customFormat="1" ht="48" customHeight="1" thickBot="1" x14ac:dyDescent="0.25">
      <c r="A6" s="253"/>
      <c r="B6" s="255"/>
      <c r="C6" s="259" t="s">
        <v>119</v>
      </c>
      <c r="D6" s="155" t="s">
        <v>4</v>
      </c>
      <c r="E6" s="247"/>
      <c r="F6" s="248"/>
      <c r="G6" s="248"/>
      <c r="H6" s="249"/>
      <c r="I6" s="243"/>
    </row>
    <row r="7" spans="1:9" s="7" customFormat="1" ht="22.5" customHeight="1" thickBot="1" x14ac:dyDescent="0.25">
      <c r="A7" s="253"/>
      <c r="B7" s="255"/>
      <c r="C7" s="259"/>
      <c r="D7" s="156">
        <v>2022</v>
      </c>
      <c r="E7" s="250"/>
      <c r="F7" s="251"/>
      <c r="G7" s="251"/>
      <c r="H7" s="252"/>
      <c r="I7" s="213" t="s">
        <v>150</v>
      </c>
    </row>
    <row r="8" spans="1:9" s="7" customFormat="1" ht="119.25" customHeight="1" thickBot="1" x14ac:dyDescent="0.3">
      <c r="A8" s="254"/>
      <c r="B8" s="256"/>
      <c r="C8" s="131" t="s">
        <v>5</v>
      </c>
      <c r="D8" s="157" t="s">
        <v>6</v>
      </c>
      <c r="E8" s="160" t="s">
        <v>147</v>
      </c>
      <c r="F8" s="161" t="s">
        <v>146</v>
      </c>
      <c r="G8" s="161" t="s">
        <v>149</v>
      </c>
      <c r="H8" s="180"/>
      <c r="I8" s="214" t="s">
        <v>126</v>
      </c>
    </row>
    <row r="9" spans="1:9" s="8" customFormat="1" ht="13.5" thickBot="1" x14ac:dyDescent="0.25">
      <c r="A9" s="125">
        <v>1</v>
      </c>
      <c r="B9" s="126">
        <f t="shared" ref="B9:D9" si="0">A9+1</f>
        <v>2</v>
      </c>
      <c r="C9" s="126">
        <f t="shared" si="0"/>
        <v>3</v>
      </c>
      <c r="D9" s="133">
        <f t="shared" si="0"/>
        <v>4</v>
      </c>
      <c r="E9" s="41">
        <f t="shared" ref="E9:H9" si="1">D9+1</f>
        <v>5</v>
      </c>
      <c r="F9" s="127">
        <f t="shared" si="1"/>
        <v>6</v>
      </c>
      <c r="G9" s="127">
        <f t="shared" si="1"/>
        <v>7</v>
      </c>
      <c r="H9" s="181">
        <f t="shared" si="1"/>
        <v>8</v>
      </c>
      <c r="I9" s="133">
        <f>H9+1</f>
        <v>9</v>
      </c>
    </row>
    <row r="10" spans="1:9" s="9" customFormat="1" thickBot="1" x14ac:dyDescent="0.25">
      <c r="A10" s="121"/>
      <c r="B10" s="122" t="s">
        <v>7</v>
      </c>
      <c r="C10" s="221" t="s">
        <v>9</v>
      </c>
      <c r="D10" s="158" t="s">
        <v>8</v>
      </c>
      <c r="E10" s="123" t="s">
        <v>143</v>
      </c>
      <c r="F10" s="124" t="s">
        <v>144</v>
      </c>
      <c r="G10" s="124" t="s">
        <v>145</v>
      </c>
      <c r="H10" s="182" t="s">
        <v>8</v>
      </c>
      <c r="I10" s="215" t="s">
        <v>8</v>
      </c>
    </row>
    <row r="11" spans="1:9" x14ac:dyDescent="0.2">
      <c r="A11" s="120">
        <v>1</v>
      </c>
      <c r="B11" s="203" t="s">
        <v>132</v>
      </c>
      <c r="C11" s="236">
        <v>583</v>
      </c>
      <c r="D11" s="237">
        <v>883700</v>
      </c>
      <c r="E11" s="238">
        <v>2</v>
      </c>
      <c r="F11" s="239">
        <v>12</v>
      </c>
      <c r="G11" s="222">
        <v>4</v>
      </c>
      <c r="H11" s="226"/>
      <c r="I11" s="218"/>
    </row>
    <row r="12" spans="1:9" ht="17.25" customHeight="1" x14ac:dyDescent="0.2">
      <c r="A12" s="36">
        <v>2</v>
      </c>
      <c r="B12" s="204" t="s">
        <v>133</v>
      </c>
      <c r="C12" s="236">
        <v>641</v>
      </c>
      <c r="D12" s="237">
        <v>659900</v>
      </c>
      <c r="E12" s="238">
        <v>3</v>
      </c>
      <c r="F12" s="239">
        <v>22</v>
      </c>
      <c r="G12" s="222">
        <v>3</v>
      </c>
      <c r="H12" s="227"/>
      <c r="I12" s="219"/>
    </row>
    <row r="13" spans="1:9" x14ac:dyDescent="0.2">
      <c r="A13" s="36">
        <v>3</v>
      </c>
      <c r="B13" s="204" t="s">
        <v>134</v>
      </c>
      <c r="C13" s="236">
        <v>5203</v>
      </c>
      <c r="D13" s="237">
        <v>7857100</v>
      </c>
      <c r="E13" s="238">
        <v>6</v>
      </c>
      <c r="F13" s="239">
        <v>0</v>
      </c>
      <c r="G13" s="223">
        <v>1</v>
      </c>
      <c r="H13" s="227"/>
      <c r="I13" s="219"/>
    </row>
    <row r="14" spans="1:9" x14ac:dyDescent="0.2">
      <c r="A14" s="36">
        <v>4</v>
      </c>
      <c r="B14" s="204" t="s">
        <v>135</v>
      </c>
      <c r="C14" s="236">
        <v>656</v>
      </c>
      <c r="D14" s="237">
        <v>1146800</v>
      </c>
      <c r="E14" s="238">
        <v>4</v>
      </c>
      <c r="F14" s="239">
        <v>48</v>
      </c>
      <c r="G14" s="223">
        <v>3</v>
      </c>
      <c r="H14" s="227"/>
      <c r="I14" s="219"/>
    </row>
    <row r="15" spans="1:9" x14ac:dyDescent="0.2">
      <c r="A15" s="36">
        <v>5</v>
      </c>
      <c r="B15" s="204" t="s">
        <v>136</v>
      </c>
      <c r="C15" s="236">
        <v>772</v>
      </c>
      <c r="D15" s="237">
        <v>1013900</v>
      </c>
      <c r="E15" s="238">
        <v>5</v>
      </c>
      <c r="F15" s="239">
        <v>37</v>
      </c>
      <c r="G15" s="223">
        <v>3</v>
      </c>
      <c r="H15" s="227"/>
      <c r="I15" s="219"/>
    </row>
    <row r="16" spans="1:9" x14ac:dyDescent="0.2">
      <c r="A16" s="36">
        <v>6</v>
      </c>
      <c r="B16" s="204" t="s">
        <v>137</v>
      </c>
      <c r="C16" s="236">
        <v>955</v>
      </c>
      <c r="D16" s="237">
        <v>974100</v>
      </c>
      <c r="E16" s="238">
        <v>5</v>
      </c>
      <c r="F16" s="239">
        <v>31</v>
      </c>
      <c r="G16" s="223">
        <v>2</v>
      </c>
      <c r="H16" s="227"/>
      <c r="I16" s="219"/>
    </row>
    <row r="17" spans="1:9" x14ac:dyDescent="0.2">
      <c r="A17" s="36">
        <v>7</v>
      </c>
      <c r="B17" s="204" t="s">
        <v>138</v>
      </c>
      <c r="C17" s="236">
        <v>698</v>
      </c>
      <c r="D17" s="237">
        <v>552500</v>
      </c>
      <c r="E17" s="238">
        <v>3</v>
      </c>
      <c r="F17" s="239">
        <v>9</v>
      </c>
      <c r="G17" s="223">
        <v>3</v>
      </c>
      <c r="H17" s="227"/>
      <c r="I17" s="219"/>
    </row>
    <row r="18" spans="1:9" x14ac:dyDescent="0.2">
      <c r="A18" s="37">
        <v>8</v>
      </c>
      <c r="B18" s="204" t="s">
        <v>139</v>
      </c>
      <c r="C18" s="236">
        <v>907</v>
      </c>
      <c r="D18" s="237">
        <v>1051000</v>
      </c>
      <c r="E18" s="238">
        <v>6</v>
      </c>
      <c r="F18" s="239">
        <v>16</v>
      </c>
      <c r="G18" s="223">
        <v>2</v>
      </c>
      <c r="H18" s="227"/>
      <c r="I18" s="219"/>
    </row>
    <row r="19" spans="1:9" ht="17.25" customHeight="1" x14ac:dyDescent="0.2">
      <c r="A19" s="36">
        <v>9</v>
      </c>
      <c r="B19" s="204" t="s">
        <v>140</v>
      </c>
      <c r="C19" s="236">
        <v>1184</v>
      </c>
      <c r="D19" s="237">
        <v>1219600</v>
      </c>
      <c r="E19" s="238">
        <v>7</v>
      </c>
      <c r="F19" s="239">
        <v>60</v>
      </c>
      <c r="G19" s="223">
        <v>2</v>
      </c>
      <c r="H19" s="227"/>
      <c r="I19" s="219"/>
    </row>
    <row r="20" spans="1:9" x14ac:dyDescent="0.2">
      <c r="A20" s="36">
        <v>10</v>
      </c>
      <c r="B20" s="204" t="s">
        <v>141</v>
      </c>
      <c r="C20" s="236">
        <v>1121</v>
      </c>
      <c r="D20" s="237">
        <v>1232200</v>
      </c>
      <c r="E20" s="238">
        <v>6</v>
      </c>
      <c r="F20" s="239">
        <v>17</v>
      </c>
      <c r="G20" s="223">
        <v>2</v>
      </c>
      <c r="H20" s="227"/>
      <c r="I20" s="219"/>
    </row>
    <row r="21" spans="1:9" ht="16.5" thickBot="1" x14ac:dyDescent="0.25">
      <c r="A21" s="37">
        <v>11</v>
      </c>
      <c r="B21" s="204" t="s">
        <v>142</v>
      </c>
      <c r="C21" s="236">
        <v>1079</v>
      </c>
      <c r="D21" s="237">
        <v>1278800</v>
      </c>
      <c r="E21" s="238">
        <v>5</v>
      </c>
      <c r="F21" s="239">
        <v>19</v>
      </c>
      <c r="G21" s="223">
        <v>2</v>
      </c>
      <c r="H21" s="228"/>
      <c r="I21" s="220"/>
    </row>
    <row r="22" spans="1:9" ht="16.5" thickBot="1" x14ac:dyDescent="0.25">
      <c r="A22" s="128"/>
      <c r="B22" s="129" t="s">
        <v>10</v>
      </c>
      <c r="C22" s="132">
        <f t="shared" ref="C22:E22" si="2">SUM(C11:C21)</f>
        <v>13799</v>
      </c>
      <c r="D22" s="94">
        <f t="shared" si="2"/>
        <v>17869600</v>
      </c>
      <c r="E22" s="159">
        <f t="shared" si="2"/>
        <v>52</v>
      </c>
      <c r="F22" s="159"/>
      <c r="G22" s="162"/>
      <c r="H22" s="183">
        <f>SUM(H11:H21)</f>
        <v>0</v>
      </c>
      <c r="I22" s="216">
        <f t="shared" ref="I22" si="3">SUM(I11:I21)</f>
        <v>0</v>
      </c>
    </row>
  </sheetData>
  <sheetProtection selectLockedCells="1" selectUnlockedCells="1"/>
  <autoFilter ref="B9:H2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rintOptions horizontalCentered="1"/>
  <pageMargins left="0" right="0" top="0.59027777777777779" bottom="0.39374999999999999" header="0.51180555555555551" footer="0.51180555555555551"/>
  <pageSetup paperSize="9" scale="84" firstPageNumber="0" fitToHeight="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Normal="74" zoomScaleSheetLayoutView="100" workbookViewId="0">
      <selection activeCell="G20" sqref="G20"/>
    </sheetView>
  </sheetViews>
  <sheetFormatPr defaultRowHeight="15.75" x14ac:dyDescent="0.2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9.140625" style="10"/>
    <col min="6" max="6" width="12.42578125" style="10" customWidth="1"/>
    <col min="7" max="7" width="14.140625" style="10" customWidth="1"/>
    <col min="8" max="8" width="13.42578125" style="10" bestFit="1" customWidth="1"/>
    <col min="9" max="16384" width="9.140625" style="10"/>
  </cols>
  <sheetData>
    <row r="1" spans="1:8" x14ac:dyDescent="0.2">
      <c r="C1" s="11"/>
      <c r="D1" s="11"/>
      <c r="E1" s="11"/>
      <c r="F1" s="11"/>
    </row>
    <row r="2" spans="1:8" s="12" customFormat="1" ht="18.75" x14ac:dyDescent="0.2">
      <c r="B2" s="260" t="s">
        <v>11</v>
      </c>
      <c r="C2" s="260"/>
      <c r="D2" s="260"/>
      <c r="E2" s="260"/>
      <c r="F2" s="260"/>
    </row>
    <row r="3" spans="1:8" ht="16.5" thickBot="1" x14ac:dyDescent="0.25">
      <c r="B3" s="13"/>
    </row>
    <row r="4" spans="1:8" s="7" customFormat="1" ht="16.5" customHeight="1" thickBot="1" x14ac:dyDescent="0.25">
      <c r="A4" s="261" t="s">
        <v>1</v>
      </c>
      <c r="B4" s="262" t="s">
        <v>12</v>
      </c>
      <c r="C4" s="256" t="s">
        <v>11</v>
      </c>
      <c r="D4" s="264"/>
      <c r="E4" s="264"/>
      <c r="F4" s="264"/>
      <c r="G4" s="264"/>
    </row>
    <row r="5" spans="1:8" s="14" customFormat="1" ht="16.5" thickBot="1" x14ac:dyDescent="0.25">
      <c r="A5" s="261"/>
      <c r="B5" s="263"/>
      <c r="C5" s="265" t="s">
        <v>13</v>
      </c>
      <c r="D5" s="269" t="s">
        <v>14</v>
      </c>
      <c r="E5" s="269" t="s">
        <v>15</v>
      </c>
      <c r="F5" s="270" t="s">
        <v>98</v>
      </c>
      <c r="G5" s="266" t="s">
        <v>10</v>
      </c>
    </row>
    <row r="6" spans="1:8" s="14" customFormat="1" ht="16.5" thickBot="1" x14ac:dyDescent="0.25">
      <c r="A6" s="261"/>
      <c r="B6" s="263"/>
      <c r="C6" s="265"/>
      <c r="D6" s="269"/>
      <c r="E6" s="269"/>
      <c r="F6" s="271"/>
      <c r="G6" s="267"/>
    </row>
    <row r="7" spans="1:8" s="14" customFormat="1" ht="16.5" thickBot="1" x14ac:dyDescent="0.25">
      <c r="A7" s="261"/>
      <c r="B7" s="263"/>
      <c r="C7" s="265"/>
      <c r="D7" s="269"/>
      <c r="E7" s="269"/>
      <c r="F7" s="272"/>
      <c r="G7" s="268"/>
    </row>
    <row r="8" spans="1:8" s="17" customFormat="1" ht="12.75" thickBot="1" x14ac:dyDescent="0.25">
      <c r="A8" s="15">
        <v>1</v>
      </c>
      <c r="B8" s="118">
        <f t="shared" ref="B8:E8" si="0">A8+1</f>
        <v>2</v>
      </c>
      <c r="C8" s="224">
        <f>B8+1</f>
        <v>3</v>
      </c>
      <c r="D8" s="16">
        <f t="shared" si="0"/>
        <v>4</v>
      </c>
      <c r="E8" s="16">
        <f t="shared" si="0"/>
        <v>5</v>
      </c>
      <c r="F8" s="150">
        <f>E8+1</f>
        <v>6</v>
      </c>
      <c r="G8" s="118">
        <f>F8+1</f>
        <v>7</v>
      </c>
    </row>
    <row r="9" spans="1:8" s="19" customFormat="1" thickBot="1" x14ac:dyDescent="0.25">
      <c r="A9" s="18"/>
      <c r="B9" s="119" t="s">
        <v>7</v>
      </c>
      <c r="C9" s="225"/>
      <c r="D9" s="38"/>
      <c r="E9" s="240"/>
      <c r="F9" s="151"/>
      <c r="G9" s="153"/>
    </row>
    <row r="10" spans="1:8" x14ac:dyDescent="0.25">
      <c r="A10" s="20">
        <v>1</v>
      </c>
      <c r="B10" s="205" t="s">
        <v>132</v>
      </c>
      <c r="C10" s="229">
        <f>1+('Исходные данные'!E11/'Исходные данные'!E19)</f>
        <v>1.2857142857142856</v>
      </c>
      <c r="D10" s="235">
        <f>1+('Исходные данные'!F11/'Исходные данные'!F19)</f>
        <v>1.2</v>
      </c>
      <c r="E10" s="222">
        <f>'Исходные данные'!G11</f>
        <v>4</v>
      </c>
      <c r="F10" s="230"/>
      <c r="G10" s="217">
        <f>((C10+D10)/2)*E10</f>
        <v>4.9714285714285715</v>
      </c>
    </row>
    <row r="11" spans="1:8" s="22" customFormat="1" x14ac:dyDescent="0.25">
      <c r="A11" s="21">
        <v>2</v>
      </c>
      <c r="B11" s="206" t="s">
        <v>133</v>
      </c>
      <c r="C11" s="229">
        <f>1+('Исходные данные'!E12/'Исходные данные'!E19)</f>
        <v>1.4285714285714286</v>
      </c>
      <c r="D11" s="233">
        <f>1+('Исходные данные'!F12/'Исходные данные'!F19)</f>
        <v>1.3666666666666667</v>
      </c>
      <c r="E11" s="222">
        <f>'Исходные данные'!G12</f>
        <v>3</v>
      </c>
      <c r="F11" s="231"/>
      <c r="G11" s="217">
        <f t="shared" ref="G11:G20" si="1">((C11+D11)/2)*E11</f>
        <v>4.1928571428571431</v>
      </c>
      <c r="H11" s="10"/>
    </row>
    <row r="12" spans="1:8" s="22" customFormat="1" x14ac:dyDescent="0.25">
      <c r="A12" s="21">
        <f t="shared" ref="A12:A17" si="2">A11+1</f>
        <v>3</v>
      </c>
      <c r="B12" s="206" t="s">
        <v>134</v>
      </c>
      <c r="C12" s="229">
        <f>1+('Исходные данные'!E13/'Исходные данные'!E19)</f>
        <v>1.8571428571428572</v>
      </c>
      <c r="D12" s="233">
        <f>1+('Исходные данные'!F13/'Исходные данные'!F19)</f>
        <v>1</v>
      </c>
      <c r="E12" s="223">
        <f>'Исходные данные'!G13</f>
        <v>1</v>
      </c>
      <c r="F12" s="231"/>
      <c r="G12" s="217">
        <f t="shared" si="1"/>
        <v>1.4285714285714286</v>
      </c>
      <c r="H12" s="10"/>
    </row>
    <row r="13" spans="1:8" s="22" customFormat="1" x14ac:dyDescent="0.25">
      <c r="A13" s="21">
        <f t="shared" si="2"/>
        <v>4</v>
      </c>
      <c r="B13" s="206" t="s">
        <v>135</v>
      </c>
      <c r="C13" s="229">
        <f>1+('Исходные данные'!E14/'Исходные данные'!E19)</f>
        <v>1.5714285714285714</v>
      </c>
      <c r="D13" s="233">
        <f>1+('Исходные данные'!F14/'Исходные данные'!F19)</f>
        <v>1.8</v>
      </c>
      <c r="E13" s="223">
        <f>'Исходные данные'!G14</f>
        <v>3</v>
      </c>
      <c r="F13" s="231"/>
      <c r="G13" s="207">
        <f t="shared" si="1"/>
        <v>5.0571428571428569</v>
      </c>
      <c r="H13" s="10"/>
    </row>
    <row r="14" spans="1:8" s="22" customFormat="1" x14ac:dyDescent="0.25">
      <c r="A14" s="21">
        <f t="shared" si="2"/>
        <v>5</v>
      </c>
      <c r="B14" s="206" t="s">
        <v>136</v>
      </c>
      <c r="C14" s="229">
        <f>1+('Исходные данные'!E15/'Исходные данные'!E19)</f>
        <v>1.7142857142857144</v>
      </c>
      <c r="D14" s="233">
        <f>1+('Исходные данные'!F15/'Исходные данные'!F19)</f>
        <v>1.6166666666666667</v>
      </c>
      <c r="E14" s="223">
        <f>'Исходные данные'!G15</f>
        <v>3</v>
      </c>
      <c r="F14" s="231"/>
      <c r="G14" s="207">
        <f t="shared" si="1"/>
        <v>4.9964285714285719</v>
      </c>
      <c r="H14" s="10"/>
    </row>
    <row r="15" spans="1:8" s="22" customFormat="1" x14ac:dyDescent="0.25">
      <c r="A15" s="21">
        <f t="shared" si="2"/>
        <v>6</v>
      </c>
      <c r="B15" s="206" t="s">
        <v>137</v>
      </c>
      <c r="C15" s="229">
        <f>1+('Исходные данные'!E16/'Исходные данные'!E19)</f>
        <v>1.7142857142857144</v>
      </c>
      <c r="D15" s="233">
        <f>1+('Исходные данные'!F16/'Исходные данные'!F19)</f>
        <v>1.5166666666666666</v>
      </c>
      <c r="E15" s="223">
        <f>'Исходные данные'!G16</f>
        <v>2</v>
      </c>
      <c r="F15" s="231"/>
      <c r="G15" s="207">
        <f t="shared" si="1"/>
        <v>3.230952380952381</v>
      </c>
      <c r="H15" s="10"/>
    </row>
    <row r="16" spans="1:8" s="22" customFormat="1" x14ac:dyDescent="0.25">
      <c r="A16" s="21">
        <f t="shared" si="2"/>
        <v>7</v>
      </c>
      <c r="B16" s="206" t="s">
        <v>138</v>
      </c>
      <c r="C16" s="229">
        <f>1+('Исходные данные'!E17/'Исходные данные'!E19)</f>
        <v>1.4285714285714286</v>
      </c>
      <c r="D16" s="233">
        <f>1+('Исходные данные'!F17/'Исходные данные'!F19)</f>
        <v>1.1499999999999999</v>
      </c>
      <c r="E16" s="223">
        <f>'Исходные данные'!G17</f>
        <v>3</v>
      </c>
      <c r="F16" s="231"/>
      <c r="G16" s="207">
        <f t="shared" si="1"/>
        <v>3.8678571428571424</v>
      </c>
      <c r="H16" s="10"/>
    </row>
    <row r="17" spans="1:8" s="22" customFormat="1" x14ac:dyDescent="0.25">
      <c r="A17" s="21">
        <f t="shared" si="2"/>
        <v>8</v>
      </c>
      <c r="B17" s="206" t="s">
        <v>139</v>
      </c>
      <c r="C17" s="229">
        <f>1+('Исходные данные'!E18/'Исходные данные'!E19)</f>
        <v>1.8571428571428572</v>
      </c>
      <c r="D17" s="233">
        <f>1+('Исходные данные'!F18/'Исходные данные'!F19)</f>
        <v>1.2666666666666666</v>
      </c>
      <c r="E17" s="223">
        <f>'Исходные данные'!G18</f>
        <v>2</v>
      </c>
      <c r="F17" s="231"/>
      <c r="G17" s="207">
        <f t="shared" si="1"/>
        <v>3.1238095238095238</v>
      </c>
      <c r="H17" s="10"/>
    </row>
    <row r="18" spans="1:8" s="22" customFormat="1" x14ac:dyDescent="0.25">
      <c r="A18" s="23">
        <v>9</v>
      </c>
      <c r="B18" s="206" t="s">
        <v>140</v>
      </c>
      <c r="C18" s="229">
        <f>1+('Исходные данные'!E19/'Исходные данные'!E19)</f>
        <v>2</v>
      </c>
      <c r="D18" s="233">
        <f>1+('Исходные данные'!F19/'Исходные данные'!F19)</f>
        <v>2</v>
      </c>
      <c r="E18" s="223">
        <f>'Исходные данные'!G19</f>
        <v>2</v>
      </c>
      <c r="F18" s="231"/>
      <c r="G18" s="207">
        <f t="shared" si="1"/>
        <v>4</v>
      </c>
      <c r="H18" s="10"/>
    </row>
    <row r="19" spans="1:8" s="22" customFormat="1" x14ac:dyDescent="0.25">
      <c r="A19" s="23">
        <v>10</v>
      </c>
      <c r="B19" s="206" t="s">
        <v>141</v>
      </c>
      <c r="C19" s="229">
        <f>1+('Исходные данные'!E20/'Исходные данные'!E19)</f>
        <v>1.8571428571428572</v>
      </c>
      <c r="D19" s="233">
        <f>1+('Исходные данные'!F20/'Исходные данные'!F19)</f>
        <v>1.2833333333333332</v>
      </c>
      <c r="E19" s="223">
        <f>'Исходные данные'!G20</f>
        <v>2</v>
      </c>
      <c r="F19" s="231"/>
      <c r="G19" s="207">
        <f t="shared" si="1"/>
        <v>3.1404761904761904</v>
      </c>
      <c r="H19" s="10"/>
    </row>
    <row r="20" spans="1:8" s="22" customFormat="1" ht="16.5" thickBot="1" x14ac:dyDescent="0.3">
      <c r="A20" s="23">
        <v>11</v>
      </c>
      <c r="B20" s="206" t="s">
        <v>142</v>
      </c>
      <c r="C20" s="229">
        <f>1+('Исходные данные'!E21/'Исходные данные'!E19)</f>
        <v>1.7142857142857144</v>
      </c>
      <c r="D20" s="234">
        <f>1+('Исходные данные'!F21/'Исходные данные'!F19)</f>
        <v>1.3166666666666667</v>
      </c>
      <c r="E20" s="223">
        <f>'Исходные данные'!G21</f>
        <v>2</v>
      </c>
      <c r="F20" s="232"/>
      <c r="G20" s="207">
        <f t="shared" si="1"/>
        <v>3.0309523809523808</v>
      </c>
      <c r="H20" s="10"/>
    </row>
    <row r="21" spans="1:8" ht="16.5" thickBot="1" x14ac:dyDescent="0.25">
      <c r="A21" s="134"/>
      <c r="B21" s="135" t="s">
        <v>16</v>
      </c>
      <c r="C21" s="163"/>
      <c r="D21" s="136"/>
      <c r="E21" s="136"/>
      <c r="F21" s="152"/>
      <c r="G21" s="154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23"/>
  <sheetViews>
    <sheetView view="pageBreakPreview" zoomScale="75" zoomScaleNormal="70" zoomScaleSheetLayoutView="75" workbookViewId="0">
      <selection activeCell="M1" sqref="M1"/>
    </sheetView>
  </sheetViews>
  <sheetFormatPr defaultRowHeight="15.75" x14ac:dyDescent="0.2"/>
  <cols>
    <col min="1" max="1" width="39.140625" style="24" customWidth="1"/>
    <col min="2" max="2" width="18.5703125" style="24" customWidth="1"/>
    <col min="3" max="3" width="8.140625" style="24" customWidth="1"/>
    <col min="4" max="4" width="17" style="24" customWidth="1"/>
    <col min="5" max="5" width="7.85546875" style="24" customWidth="1"/>
    <col min="6" max="6" width="17.42578125" style="24" customWidth="1"/>
    <col min="7" max="7" width="12.5703125" style="24" customWidth="1"/>
    <col min="8" max="8" width="16.140625" style="24" customWidth="1"/>
    <col min="9" max="9" width="14.5703125" style="24" customWidth="1"/>
    <col min="10" max="10" width="16.85546875" style="24" customWidth="1"/>
    <col min="11" max="12" width="14.5703125" style="24" customWidth="1"/>
    <col min="13" max="13" width="14.42578125" style="24" customWidth="1"/>
    <col min="14" max="14" width="13.28515625" style="24" customWidth="1"/>
    <col min="15" max="15" width="16" style="24" customWidth="1"/>
    <col min="16" max="16" width="17.42578125" style="24" customWidth="1"/>
    <col min="17" max="17" width="16.7109375" style="24" customWidth="1"/>
    <col min="18" max="18" width="18.28515625" style="24" customWidth="1"/>
    <col min="19" max="19" width="15.140625" style="24" customWidth="1"/>
    <col min="20" max="21" width="15.7109375" style="24" customWidth="1"/>
    <col min="22" max="22" width="16.28515625" style="24" customWidth="1"/>
    <col min="23" max="23" width="15" style="24" customWidth="1"/>
    <col min="24" max="24" width="13.5703125" style="24" customWidth="1"/>
    <col min="25" max="26" width="15.42578125" style="24" customWidth="1"/>
    <col min="27" max="27" width="14.85546875" style="24" customWidth="1"/>
    <col min="28" max="29" width="15.42578125" style="24" customWidth="1"/>
    <col min="30" max="30" width="12.5703125" style="24" customWidth="1"/>
    <col min="31" max="32" width="14.85546875" style="24" customWidth="1"/>
    <col min="33" max="33" width="16.28515625" style="24" customWidth="1"/>
    <col min="34" max="34" width="13.7109375" style="24" customWidth="1"/>
    <col min="35" max="35" width="13.140625" style="24" customWidth="1"/>
    <col min="36" max="37" width="15.5703125" style="24" customWidth="1"/>
    <col min="38" max="38" width="16.42578125" style="24" customWidth="1"/>
    <col min="39" max="39" width="14.85546875" style="24" customWidth="1"/>
    <col min="40" max="40" width="14.28515625" style="24" customWidth="1"/>
    <col min="41" max="41" width="15.85546875" style="24" customWidth="1"/>
    <col min="42" max="42" width="14.5703125" style="24" customWidth="1"/>
    <col min="43" max="43" width="13.42578125" style="24" customWidth="1"/>
    <col min="44" max="45" width="17" style="24" customWidth="1"/>
    <col min="46" max="46" width="13.140625" style="24" customWidth="1"/>
    <col min="47" max="47" width="11.140625" style="24" customWidth="1"/>
    <col min="48" max="48" width="13.5703125" style="24" customWidth="1"/>
    <col min="49" max="49" width="14.28515625" style="24" customWidth="1"/>
    <col min="50" max="50" width="13.5703125" style="24" customWidth="1"/>
    <col min="51" max="51" width="15.42578125" style="24" customWidth="1"/>
    <col min="52" max="53" width="17.42578125" style="24" customWidth="1"/>
    <col min="54" max="54" width="19.42578125" style="24" customWidth="1"/>
    <col min="55" max="55" width="13.7109375" style="24" customWidth="1"/>
    <col min="56" max="56" width="15.140625" style="24" customWidth="1"/>
    <col min="57" max="57" width="16.42578125" style="24" customWidth="1"/>
    <col min="58" max="58" width="18.42578125" style="24" customWidth="1"/>
    <col min="59" max="59" width="15.5703125" style="24" customWidth="1"/>
    <col min="60" max="61" width="16.28515625" style="24" customWidth="1"/>
    <col min="62" max="62" width="16.140625" style="24" customWidth="1"/>
    <col min="63" max="63" width="14.28515625" style="24" customWidth="1"/>
    <col min="64" max="64" width="14.140625" style="24" customWidth="1"/>
    <col min="65" max="65" width="16.42578125" style="24" customWidth="1"/>
    <col min="66" max="66" width="14.28515625" style="24" customWidth="1"/>
    <col min="67" max="67" width="15" style="24" customWidth="1"/>
    <col min="68" max="69" width="13.42578125" style="24" customWidth="1"/>
    <col min="70" max="70" width="14.140625" style="24" customWidth="1"/>
    <col min="71" max="71" width="11.85546875" style="24" customWidth="1"/>
    <col min="72" max="72" width="14.140625" style="24" customWidth="1"/>
    <col min="73" max="73" width="15.140625" style="24" customWidth="1"/>
    <col min="74" max="74" width="14.42578125" style="24" customWidth="1"/>
    <col min="75" max="75" width="15" style="24" customWidth="1"/>
    <col min="76" max="77" width="14.140625" style="24" customWidth="1"/>
    <col min="78" max="78" width="12.85546875" style="24" customWidth="1"/>
    <col min="79" max="79" width="13.5703125" style="24" customWidth="1"/>
    <col min="80" max="80" width="14.28515625" style="24" customWidth="1"/>
    <col min="81" max="81" width="13.85546875" style="24" customWidth="1"/>
    <col min="82" max="82" width="17.7109375" style="24" customWidth="1"/>
    <col min="83" max="83" width="15" style="24" customWidth="1"/>
    <col min="84" max="85" width="12.5703125" style="24" customWidth="1"/>
    <col min="86" max="86" width="14.85546875" style="24" customWidth="1"/>
    <col min="87" max="87" width="15.42578125" style="24" customWidth="1"/>
    <col min="88" max="88" width="16.85546875" style="24" customWidth="1"/>
    <col min="89" max="89" width="19.28515625" style="24" customWidth="1"/>
    <col min="90" max="90" width="14.7109375" style="24" customWidth="1"/>
    <col min="91" max="91" width="16.28515625" style="24" customWidth="1"/>
    <col min="92" max="93" width="14" style="24" customWidth="1"/>
    <col min="94" max="94" width="13" style="24" customWidth="1"/>
    <col min="95" max="95" width="13.85546875" style="24" customWidth="1"/>
    <col min="96" max="96" width="15" style="24" customWidth="1"/>
    <col min="97" max="97" width="14.7109375" style="24" customWidth="1"/>
    <col min="98" max="98" width="14.5703125" style="24" customWidth="1"/>
    <col min="99" max="99" width="13" style="24" customWidth="1"/>
    <col min="100" max="101" width="12.28515625" style="24" customWidth="1"/>
    <col min="102" max="102" width="12.85546875" style="24" customWidth="1"/>
    <col min="103" max="103" width="13.7109375" style="24" customWidth="1"/>
    <col min="104" max="105" width="14.28515625" style="24" customWidth="1"/>
    <col min="106" max="106" width="14.7109375" style="24" customWidth="1"/>
    <col min="107" max="107" width="12.5703125" style="24" customWidth="1"/>
    <col min="108" max="109" width="14.7109375" style="24" customWidth="1"/>
    <col min="110" max="110" width="13.85546875" style="24" customWidth="1"/>
    <col min="111" max="111" width="14.85546875" style="24" customWidth="1"/>
    <col min="112" max="112" width="18.28515625" style="24" customWidth="1"/>
    <col min="113" max="113" width="15.42578125" style="24" customWidth="1"/>
    <col min="114" max="114" width="15.140625" style="24" customWidth="1"/>
    <col min="115" max="115" width="13" style="24" customWidth="1"/>
    <col min="116" max="117" width="14.140625" style="24" customWidth="1"/>
    <col min="118" max="119" width="14.7109375" style="24" customWidth="1"/>
    <col min="120" max="120" width="14.42578125" style="24" customWidth="1"/>
    <col min="121" max="121" width="16.140625" style="24" customWidth="1"/>
    <col min="122" max="122" width="16.28515625" style="24" customWidth="1"/>
    <col min="123" max="123" width="16.7109375" style="24" customWidth="1"/>
    <col min="124" max="125" width="17.28515625" style="24" customWidth="1"/>
    <col min="126" max="126" width="17" style="24" customWidth="1"/>
    <col min="127" max="127" width="17.28515625" style="24" customWidth="1"/>
    <col min="128" max="128" width="17.7109375" style="24" customWidth="1"/>
    <col min="129" max="129" width="17" style="24" customWidth="1"/>
    <col min="130" max="130" width="16.7109375" style="24" customWidth="1"/>
    <col min="131" max="131" width="15.5703125" style="24" customWidth="1"/>
    <col min="132" max="133" width="14.7109375" style="24" customWidth="1"/>
    <col min="134" max="134" width="15.42578125" style="24" customWidth="1"/>
    <col min="135" max="135" width="16.28515625" style="24" customWidth="1"/>
    <col min="136" max="136" width="16.140625" style="24" customWidth="1"/>
    <col min="137" max="137" width="15.140625" style="24" customWidth="1"/>
    <col min="138" max="138" width="16" style="24" customWidth="1"/>
    <col min="139" max="139" width="15.42578125" style="24" customWidth="1"/>
    <col min="140" max="141" width="17" style="24" customWidth="1"/>
    <col min="142" max="142" width="15" style="24" customWidth="1"/>
    <col min="143" max="143" width="12.85546875" style="24" customWidth="1"/>
    <col min="144" max="144" width="14.140625" style="24" customWidth="1"/>
    <col min="145" max="146" width="15.140625" style="24" customWidth="1"/>
    <col min="147" max="147" width="16.28515625" style="24" customWidth="1"/>
    <col min="148" max="149" width="13.85546875" style="24" customWidth="1"/>
    <col min="150" max="150" width="15.140625" style="24" customWidth="1"/>
    <col min="151" max="151" width="15.42578125" style="24" customWidth="1"/>
    <col min="152" max="152" width="17.28515625" style="24" customWidth="1"/>
    <col min="153" max="153" width="15.5703125" style="24" customWidth="1"/>
    <col min="154" max="154" width="15" style="24" customWidth="1"/>
    <col min="155" max="155" width="16.7109375" style="24" customWidth="1"/>
    <col min="156" max="157" width="17.42578125" style="24" customWidth="1"/>
    <col min="158" max="158" width="18.7109375" style="24" customWidth="1"/>
    <col min="159" max="159" width="14.42578125" style="24" customWidth="1"/>
    <col min="160" max="160" width="16.140625" style="24" customWidth="1"/>
    <col min="161" max="161" width="12.85546875" style="24" customWidth="1"/>
    <col min="162" max="162" width="15" style="24" customWidth="1"/>
    <col min="163" max="163" width="13" style="24" customWidth="1"/>
    <col min="164" max="165" width="16.28515625" style="24" customWidth="1"/>
    <col min="166" max="166" width="12.42578125" style="24" customWidth="1"/>
    <col min="167" max="167" width="19.28515625" style="24" customWidth="1"/>
    <col min="168" max="168" width="16.28515625" style="24" customWidth="1"/>
    <col min="169" max="169" width="15.28515625" style="24" customWidth="1"/>
    <col min="170" max="170" width="16" style="24" customWidth="1"/>
    <col min="171" max="171" width="14.140625" style="24" customWidth="1"/>
    <col min="172" max="172" width="14" style="24" customWidth="1"/>
    <col min="173" max="175" width="17.140625" style="24" customWidth="1"/>
    <col min="176" max="176" width="15.7109375" style="24" customWidth="1"/>
    <col min="177" max="177" width="17.140625" style="24" customWidth="1"/>
    <col min="178" max="178" width="16" style="24" customWidth="1"/>
    <col min="179" max="179" width="14.140625" style="24" customWidth="1"/>
    <col min="180" max="16384" width="9.140625" style="24"/>
  </cols>
  <sheetData>
    <row r="1" spans="1:268" s="25" customFormat="1" x14ac:dyDescent="0.2">
      <c r="A1" s="24"/>
      <c r="B1" s="25" t="s">
        <v>151</v>
      </c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</row>
    <row r="2" spans="1:268" s="5" customFormat="1" ht="16.5" thickBot="1" x14ac:dyDescent="0.25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26" customFormat="1" ht="34.5" customHeight="1" thickBot="1" x14ac:dyDescent="0.25">
      <c r="A3" s="277" t="s">
        <v>12</v>
      </c>
      <c r="B3" s="278" t="s">
        <v>127</v>
      </c>
      <c r="C3" s="281" t="s">
        <v>18</v>
      </c>
      <c r="D3" s="281"/>
      <c r="E3" s="281"/>
      <c r="F3" s="282"/>
      <c r="G3" s="288" t="s">
        <v>131</v>
      </c>
      <c r="H3" s="289"/>
      <c r="I3" s="290"/>
      <c r="J3" s="184" t="s">
        <v>105</v>
      </c>
      <c r="K3" s="319" t="s">
        <v>107</v>
      </c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  <c r="BI3" s="320"/>
      <c r="BJ3" s="320"/>
      <c r="BK3" s="320"/>
      <c r="BL3" s="320"/>
      <c r="BM3" s="320"/>
      <c r="BN3" s="320"/>
      <c r="BO3" s="320"/>
      <c r="BP3" s="320"/>
      <c r="BQ3" s="320"/>
      <c r="BR3" s="320"/>
      <c r="BS3" s="320"/>
      <c r="BT3" s="320"/>
      <c r="BU3" s="320"/>
      <c r="BV3" s="320"/>
      <c r="BW3" s="320"/>
      <c r="BX3" s="320"/>
      <c r="BY3" s="320"/>
      <c r="BZ3" s="320"/>
      <c r="CA3" s="320"/>
      <c r="CB3" s="320"/>
      <c r="CC3" s="320"/>
      <c r="CD3" s="320"/>
      <c r="CE3" s="320"/>
      <c r="CF3" s="320"/>
      <c r="CG3" s="320"/>
      <c r="CH3" s="320"/>
      <c r="CI3" s="320"/>
      <c r="CJ3" s="320"/>
      <c r="CK3" s="320"/>
      <c r="CL3" s="320"/>
      <c r="CM3" s="320"/>
      <c r="CN3" s="320"/>
      <c r="CO3" s="320"/>
      <c r="CP3" s="320"/>
      <c r="CQ3" s="320"/>
      <c r="CR3" s="320"/>
      <c r="CS3" s="320"/>
      <c r="CT3" s="320"/>
      <c r="CU3" s="320"/>
      <c r="CV3" s="320"/>
      <c r="CW3" s="320"/>
      <c r="CX3" s="320"/>
      <c r="CY3" s="320"/>
      <c r="CZ3" s="320"/>
      <c r="DA3" s="320"/>
      <c r="DB3" s="320"/>
      <c r="DC3" s="320"/>
      <c r="DD3" s="320"/>
      <c r="DE3" s="320"/>
      <c r="DF3" s="320"/>
      <c r="DG3" s="320"/>
      <c r="DH3" s="320"/>
      <c r="DI3" s="320"/>
      <c r="DJ3" s="320"/>
      <c r="DK3" s="320"/>
      <c r="DL3" s="320"/>
      <c r="DM3" s="320"/>
      <c r="DN3" s="320"/>
      <c r="DO3" s="320"/>
      <c r="DP3" s="320"/>
      <c r="DQ3" s="320"/>
      <c r="DR3" s="320"/>
      <c r="DS3" s="320"/>
      <c r="DT3" s="320"/>
      <c r="DU3" s="320"/>
      <c r="DV3" s="320"/>
      <c r="DW3" s="320"/>
      <c r="DX3" s="320"/>
      <c r="DY3" s="320"/>
      <c r="DZ3" s="320"/>
      <c r="EA3" s="320"/>
      <c r="EB3" s="320"/>
      <c r="EC3" s="320"/>
      <c r="ED3" s="320"/>
      <c r="EE3" s="320"/>
      <c r="EF3" s="320"/>
      <c r="EG3" s="320"/>
      <c r="EH3" s="320"/>
      <c r="EI3" s="320"/>
      <c r="EJ3" s="320"/>
      <c r="EK3" s="320"/>
      <c r="EL3" s="320"/>
      <c r="EM3" s="320"/>
      <c r="EN3" s="320"/>
      <c r="EO3" s="320"/>
      <c r="EP3" s="320"/>
      <c r="EQ3" s="320"/>
      <c r="ER3" s="320"/>
      <c r="ES3" s="320"/>
      <c r="ET3" s="320"/>
      <c r="EU3" s="320"/>
      <c r="EV3" s="320"/>
      <c r="EW3" s="320"/>
      <c r="EX3" s="320"/>
      <c r="EY3" s="320"/>
      <c r="EZ3" s="320"/>
      <c r="FA3" s="320"/>
      <c r="FB3" s="320"/>
      <c r="FC3" s="320"/>
      <c r="FD3" s="320"/>
      <c r="FE3" s="320"/>
      <c r="FF3" s="320"/>
      <c r="FG3" s="320"/>
      <c r="FH3" s="320"/>
      <c r="FI3" s="320"/>
      <c r="FJ3" s="320"/>
      <c r="FK3" s="320"/>
      <c r="FL3" s="320"/>
      <c r="FM3" s="320"/>
      <c r="FN3" s="321"/>
      <c r="FO3" s="324" t="s">
        <v>20</v>
      </c>
      <c r="FP3" s="327" t="s">
        <v>21</v>
      </c>
      <c r="FQ3" s="306" t="s">
        <v>106</v>
      </c>
      <c r="FR3" s="309" t="s">
        <v>103</v>
      </c>
      <c r="FS3" s="316" t="s">
        <v>118</v>
      </c>
      <c r="FT3" s="309" t="s">
        <v>104</v>
      </c>
      <c r="FU3" s="291" t="s">
        <v>120</v>
      </c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</row>
    <row r="4" spans="1:268" s="27" customFormat="1" ht="29.25" customHeight="1" thickBot="1" x14ac:dyDescent="0.25">
      <c r="A4" s="277"/>
      <c r="B4" s="279"/>
      <c r="C4" s="285" t="s">
        <v>22</v>
      </c>
      <c r="D4" s="285"/>
      <c r="E4" s="286" t="s">
        <v>23</v>
      </c>
      <c r="F4" s="287"/>
      <c r="G4" s="273" t="s">
        <v>24</v>
      </c>
      <c r="H4" s="275" t="s">
        <v>25</v>
      </c>
      <c r="I4" s="275" t="s">
        <v>19</v>
      </c>
      <c r="J4" s="312" t="s">
        <v>130</v>
      </c>
      <c r="K4" s="322" t="s">
        <v>26</v>
      </c>
      <c r="L4" s="322"/>
      <c r="M4" s="322"/>
      <c r="N4" s="322"/>
      <c r="O4" s="322"/>
      <c r="P4" s="322"/>
      <c r="Q4" s="323"/>
      <c r="R4" s="301" t="s">
        <v>27</v>
      </c>
      <c r="S4" s="302"/>
      <c r="T4" s="302"/>
      <c r="U4" s="302"/>
      <c r="V4" s="302"/>
      <c r="W4" s="302"/>
      <c r="X4" s="302"/>
      <c r="Y4" s="303"/>
      <c r="Z4" s="304" t="s">
        <v>28</v>
      </c>
      <c r="AA4" s="302"/>
      <c r="AB4" s="302"/>
      <c r="AC4" s="302"/>
      <c r="AD4" s="302"/>
      <c r="AE4" s="302"/>
      <c r="AF4" s="302"/>
      <c r="AG4" s="305"/>
      <c r="AH4" s="301" t="s">
        <v>29</v>
      </c>
      <c r="AI4" s="302"/>
      <c r="AJ4" s="302"/>
      <c r="AK4" s="302"/>
      <c r="AL4" s="302"/>
      <c r="AM4" s="302"/>
      <c r="AN4" s="302"/>
      <c r="AO4" s="303"/>
      <c r="AP4" s="294" t="s">
        <v>30</v>
      </c>
      <c r="AQ4" s="314"/>
      <c r="AR4" s="314"/>
      <c r="AS4" s="314"/>
      <c r="AT4" s="314"/>
      <c r="AU4" s="314"/>
      <c r="AV4" s="314"/>
      <c r="AW4" s="315"/>
      <c r="AX4" s="294" t="s">
        <v>31</v>
      </c>
      <c r="AY4" s="295"/>
      <c r="AZ4" s="295"/>
      <c r="BA4" s="295"/>
      <c r="BB4" s="295"/>
      <c r="BC4" s="295"/>
      <c r="BD4" s="295"/>
      <c r="BE4" s="296"/>
      <c r="BF4" s="294" t="s">
        <v>32</v>
      </c>
      <c r="BG4" s="295"/>
      <c r="BH4" s="295"/>
      <c r="BI4" s="295"/>
      <c r="BJ4" s="295"/>
      <c r="BK4" s="295"/>
      <c r="BL4" s="295"/>
      <c r="BM4" s="297"/>
      <c r="BN4" s="298" t="s">
        <v>33</v>
      </c>
      <c r="BO4" s="296"/>
      <c r="BP4" s="296"/>
      <c r="BQ4" s="296"/>
      <c r="BR4" s="296"/>
      <c r="BS4" s="296"/>
      <c r="BT4" s="296"/>
      <c r="BU4" s="297"/>
      <c r="BV4" s="304" t="s">
        <v>34</v>
      </c>
      <c r="BW4" s="302"/>
      <c r="BX4" s="302"/>
      <c r="BY4" s="302"/>
      <c r="BZ4" s="302"/>
      <c r="CA4" s="302"/>
      <c r="CB4" s="302"/>
      <c r="CC4" s="305"/>
      <c r="CD4" s="301" t="s">
        <v>35</v>
      </c>
      <c r="CE4" s="302"/>
      <c r="CF4" s="302"/>
      <c r="CG4" s="302"/>
      <c r="CH4" s="302"/>
      <c r="CI4" s="302"/>
      <c r="CJ4" s="302"/>
      <c r="CK4" s="303"/>
      <c r="CL4" s="304" t="s">
        <v>36</v>
      </c>
      <c r="CM4" s="302"/>
      <c r="CN4" s="302"/>
      <c r="CO4" s="302"/>
      <c r="CP4" s="302"/>
      <c r="CQ4" s="302"/>
      <c r="CR4" s="302"/>
      <c r="CS4" s="305"/>
      <c r="CT4" s="301" t="s">
        <v>37</v>
      </c>
      <c r="CU4" s="302"/>
      <c r="CV4" s="302"/>
      <c r="CW4" s="302"/>
      <c r="CX4" s="302"/>
      <c r="CY4" s="302"/>
      <c r="CZ4" s="302"/>
      <c r="DA4" s="303"/>
      <c r="DB4" s="304" t="s">
        <v>38</v>
      </c>
      <c r="DC4" s="302"/>
      <c r="DD4" s="302"/>
      <c r="DE4" s="302"/>
      <c r="DF4" s="302"/>
      <c r="DG4" s="302"/>
      <c r="DH4" s="302"/>
      <c r="DI4" s="305"/>
      <c r="DJ4" s="301" t="s">
        <v>39</v>
      </c>
      <c r="DK4" s="302"/>
      <c r="DL4" s="302"/>
      <c r="DM4" s="302"/>
      <c r="DN4" s="302"/>
      <c r="DO4" s="302"/>
      <c r="DP4" s="302"/>
      <c r="DQ4" s="303"/>
      <c r="DR4" s="304" t="s">
        <v>40</v>
      </c>
      <c r="DS4" s="302"/>
      <c r="DT4" s="302"/>
      <c r="DU4" s="302"/>
      <c r="DV4" s="302"/>
      <c r="DW4" s="302"/>
      <c r="DX4" s="302"/>
      <c r="DY4" s="305"/>
      <c r="DZ4" s="301" t="s">
        <v>41</v>
      </c>
      <c r="EA4" s="302"/>
      <c r="EB4" s="302"/>
      <c r="EC4" s="302"/>
      <c r="ED4" s="302"/>
      <c r="EE4" s="302"/>
      <c r="EF4" s="302"/>
      <c r="EG4" s="303"/>
      <c r="EH4" s="304" t="s">
        <v>42</v>
      </c>
      <c r="EI4" s="302"/>
      <c r="EJ4" s="302"/>
      <c r="EK4" s="302"/>
      <c r="EL4" s="302"/>
      <c r="EM4" s="302"/>
      <c r="EN4" s="302"/>
      <c r="EO4" s="305"/>
      <c r="EP4" s="301" t="s">
        <v>43</v>
      </c>
      <c r="EQ4" s="302"/>
      <c r="ER4" s="302"/>
      <c r="ES4" s="302"/>
      <c r="ET4" s="302"/>
      <c r="EU4" s="302"/>
      <c r="EV4" s="302"/>
      <c r="EW4" s="303"/>
      <c r="EX4" s="304" t="s">
        <v>44</v>
      </c>
      <c r="EY4" s="302"/>
      <c r="EZ4" s="302"/>
      <c r="FA4" s="302"/>
      <c r="FB4" s="302"/>
      <c r="FC4" s="302"/>
      <c r="FD4" s="302"/>
      <c r="FE4" s="305"/>
      <c r="FF4" s="301" t="s">
        <v>45</v>
      </c>
      <c r="FG4" s="302"/>
      <c r="FH4" s="302"/>
      <c r="FI4" s="302"/>
      <c r="FJ4" s="302"/>
      <c r="FK4" s="302"/>
      <c r="FL4" s="302"/>
      <c r="FM4" s="303"/>
      <c r="FN4" s="299" t="s">
        <v>46</v>
      </c>
      <c r="FO4" s="325"/>
      <c r="FP4" s="328"/>
      <c r="FQ4" s="307"/>
      <c r="FR4" s="310"/>
      <c r="FS4" s="317"/>
      <c r="FT4" s="310"/>
      <c r="FU4" s="292"/>
    </row>
    <row r="5" spans="1:268" s="27" customFormat="1" ht="246" customHeight="1" thickBot="1" x14ac:dyDescent="0.25">
      <c r="A5" s="277"/>
      <c r="B5" s="280"/>
      <c r="C5" s="283" t="s">
        <v>128</v>
      </c>
      <c r="D5" s="283"/>
      <c r="E5" s="283" t="s">
        <v>129</v>
      </c>
      <c r="F5" s="284"/>
      <c r="G5" s="274"/>
      <c r="H5" s="276"/>
      <c r="I5" s="276"/>
      <c r="J5" s="313"/>
      <c r="K5" s="185" t="s">
        <v>47</v>
      </c>
      <c r="L5" s="171" t="s">
        <v>122</v>
      </c>
      <c r="M5" s="165" t="s">
        <v>123</v>
      </c>
      <c r="N5" s="165" t="s">
        <v>48</v>
      </c>
      <c r="O5" s="165" t="s">
        <v>49</v>
      </c>
      <c r="P5" s="165" t="s">
        <v>50</v>
      </c>
      <c r="Q5" s="166" t="s">
        <v>51</v>
      </c>
      <c r="R5" s="53" t="s">
        <v>52</v>
      </c>
      <c r="S5" s="44" t="s">
        <v>48</v>
      </c>
      <c r="T5" s="175" t="s">
        <v>125</v>
      </c>
      <c r="U5" s="171" t="s">
        <v>122</v>
      </c>
      <c r="V5" s="165" t="s">
        <v>123</v>
      </c>
      <c r="W5" s="44" t="s">
        <v>49</v>
      </c>
      <c r="X5" s="44" t="s">
        <v>50</v>
      </c>
      <c r="Y5" s="54" t="s">
        <v>53</v>
      </c>
      <c r="Z5" s="46" t="s">
        <v>54</v>
      </c>
      <c r="AA5" s="44" t="s">
        <v>48</v>
      </c>
      <c r="AB5" s="175" t="s">
        <v>125</v>
      </c>
      <c r="AC5" s="171" t="s">
        <v>122</v>
      </c>
      <c r="AD5" s="165" t="s">
        <v>123</v>
      </c>
      <c r="AE5" s="44" t="s">
        <v>49</v>
      </c>
      <c r="AF5" s="44" t="s">
        <v>50</v>
      </c>
      <c r="AG5" s="45" t="s">
        <v>55</v>
      </c>
      <c r="AH5" s="53" t="s">
        <v>56</v>
      </c>
      <c r="AI5" s="44" t="s">
        <v>48</v>
      </c>
      <c r="AJ5" s="175" t="s">
        <v>125</v>
      </c>
      <c r="AK5" s="171" t="s">
        <v>122</v>
      </c>
      <c r="AL5" s="165" t="s">
        <v>123</v>
      </c>
      <c r="AM5" s="44" t="s">
        <v>49</v>
      </c>
      <c r="AN5" s="44" t="s">
        <v>50</v>
      </c>
      <c r="AO5" s="54" t="s">
        <v>57</v>
      </c>
      <c r="AP5" s="53" t="s">
        <v>58</v>
      </c>
      <c r="AQ5" s="44" t="s">
        <v>48</v>
      </c>
      <c r="AR5" s="175" t="s">
        <v>125</v>
      </c>
      <c r="AS5" s="171" t="s">
        <v>122</v>
      </c>
      <c r="AT5" s="165" t="s">
        <v>123</v>
      </c>
      <c r="AU5" s="44" t="s">
        <v>49</v>
      </c>
      <c r="AV5" s="44" t="s">
        <v>50</v>
      </c>
      <c r="AW5" s="54" t="s">
        <v>59</v>
      </c>
      <c r="AX5" s="53" t="s">
        <v>60</v>
      </c>
      <c r="AY5" s="44" t="s">
        <v>48</v>
      </c>
      <c r="AZ5" s="175" t="s">
        <v>125</v>
      </c>
      <c r="BA5" s="171" t="s">
        <v>122</v>
      </c>
      <c r="BB5" s="165" t="s">
        <v>123</v>
      </c>
      <c r="BC5" s="44" t="s">
        <v>49</v>
      </c>
      <c r="BD5" s="44" t="s">
        <v>50</v>
      </c>
      <c r="BE5" s="45" t="s">
        <v>61</v>
      </c>
      <c r="BF5" s="53" t="s">
        <v>62</v>
      </c>
      <c r="BG5" s="44" t="s">
        <v>48</v>
      </c>
      <c r="BH5" s="175" t="s">
        <v>125</v>
      </c>
      <c r="BI5" s="171" t="s">
        <v>122</v>
      </c>
      <c r="BJ5" s="165" t="s">
        <v>123</v>
      </c>
      <c r="BK5" s="44" t="s">
        <v>49</v>
      </c>
      <c r="BL5" s="44" t="s">
        <v>50</v>
      </c>
      <c r="BM5" s="54" t="s">
        <v>63</v>
      </c>
      <c r="BN5" s="53" t="s">
        <v>64</v>
      </c>
      <c r="BO5" s="44" t="s">
        <v>48</v>
      </c>
      <c r="BP5" s="175" t="s">
        <v>125</v>
      </c>
      <c r="BQ5" s="171" t="s">
        <v>122</v>
      </c>
      <c r="BR5" s="165" t="s">
        <v>123</v>
      </c>
      <c r="BS5" s="44" t="s">
        <v>49</v>
      </c>
      <c r="BT5" s="44" t="s">
        <v>50</v>
      </c>
      <c r="BU5" s="54" t="s">
        <v>65</v>
      </c>
      <c r="BV5" s="46" t="s">
        <v>66</v>
      </c>
      <c r="BW5" s="44" t="s">
        <v>48</v>
      </c>
      <c r="BX5" s="175" t="s">
        <v>125</v>
      </c>
      <c r="BY5" s="171" t="s">
        <v>122</v>
      </c>
      <c r="BZ5" s="165" t="s">
        <v>123</v>
      </c>
      <c r="CA5" s="44" t="s">
        <v>49</v>
      </c>
      <c r="CB5" s="44" t="s">
        <v>50</v>
      </c>
      <c r="CC5" s="45" t="s">
        <v>67</v>
      </c>
      <c r="CD5" s="53" t="s">
        <v>68</v>
      </c>
      <c r="CE5" s="44" t="s">
        <v>48</v>
      </c>
      <c r="CF5" s="175" t="s">
        <v>125</v>
      </c>
      <c r="CG5" s="171" t="s">
        <v>122</v>
      </c>
      <c r="CH5" s="165" t="s">
        <v>123</v>
      </c>
      <c r="CI5" s="44" t="s">
        <v>49</v>
      </c>
      <c r="CJ5" s="44" t="s">
        <v>50</v>
      </c>
      <c r="CK5" s="54" t="s">
        <v>69</v>
      </c>
      <c r="CL5" s="46" t="s">
        <v>70</v>
      </c>
      <c r="CM5" s="44" t="s">
        <v>48</v>
      </c>
      <c r="CN5" s="175" t="s">
        <v>125</v>
      </c>
      <c r="CO5" s="171" t="s">
        <v>122</v>
      </c>
      <c r="CP5" s="165" t="s">
        <v>123</v>
      </c>
      <c r="CQ5" s="44" t="s">
        <v>49</v>
      </c>
      <c r="CR5" s="44" t="s">
        <v>50</v>
      </c>
      <c r="CS5" s="45" t="s">
        <v>71</v>
      </c>
      <c r="CT5" s="53" t="s">
        <v>72</v>
      </c>
      <c r="CU5" s="44" t="s">
        <v>48</v>
      </c>
      <c r="CV5" s="175" t="s">
        <v>125</v>
      </c>
      <c r="CW5" s="171" t="s">
        <v>122</v>
      </c>
      <c r="CX5" s="165" t="s">
        <v>123</v>
      </c>
      <c r="CY5" s="44" t="s">
        <v>49</v>
      </c>
      <c r="CZ5" s="44" t="s">
        <v>50</v>
      </c>
      <c r="DA5" s="54" t="s">
        <v>73</v>
      </c>
      <c r="DB5" s="46" t="s">
        <v>74</v>
      </c>
      <c r="DC5" s="44" t="s">
        <v>48</v>
      </c>
      <c r="DD5" s="175" t="s">
        <v>125</v>
      </c>
      <c r="DE5" s="171" t="s">
        <v>122</v>
      </c>
      <c r="DF5" s="165" t="s">
        <v>123</v>
      </c>
      <c r="DG5" s="44" t="s">
        <v>49</v>
      </c>
      <c r="DH5" s="44" t="s">
        <v>50</v>
      </c>
      <c r="DI5" s="45" t="s">
        <v>75</v>
      </c>
      <c r="DJ5" s="53" t="s">
        <v>76</v>
      </c>
      <c r="DK5" s="44" t="s">
        <v>48</v>
      </c>
      <c r="DL5" s="175" t="s">
        <v>125</v>
      </c>
      <c r="DM5" s="171" t="s">
        <v>122</v>
      </c>
      <c r="DN5" s="165" t="s">
        <v>123</v>
      </c>
      <c r="DO5" s="44" t="s">
        <v>49</v>
      </c>
      <c r="DP5" s="44" t="s">
        <v>50</v>
      </c>
      <c r="DQ5" s="54" t="s">
        <v>77</v>
      </c>
      <c r="DR5" s="46" t="s">
        <v>78</v>
      </c>
      <c r="DS5" s="44" t="s">
        <v>48</v>
      </c>
      <c r="DT5" s="175" t="s">
        <v>125</v>
      </c>
      <c r="DU5" s="171" t="s">
        <v>122</v>
      </c>
      <c r="DV5" s="165" t="s">
        <v>123</v>
      </c>
      <c r="DW5" s="44" t="s">
        <v>49</v>
      </c>
      <c r="DX5" s="44" t="s">
        <v>50</v>
      </c>
      <c r="DY5" s="45" t="s">
        <v>79</v>
      </c>
      <c r="DZ5" s="53" t="s">
        <v>80</v>
      </c>
      <c r="EA5" s="44" t="s">
        <v>48</v>
      </c>
      <c r="EB5" s="175" t="s">
        <v>125</v>
      </c>
      <c r="EC5" s="171" t="s">
        <v>122</v>
      </c>
      <c r="ED5" s="165" t="s">
        <v>123</v>
      </c>
      <c r="EE5" s="44" t="s">
        <v>49</v>
      </c>
      <c r="EF5" s="44" t="s">
        <v>50</v>
      </c>
      <c r="EG5" s="54" t="s">
        <v>81</v>
      </c>
      <c r="EH5" s="46" t="s">
        <v>82</v>
      </c>
      <c r="EI5" s="44" t="s">
        <v>48</v>
      </c>
      <c r="EJ5" s="175" t="s">
        <v>125</v>
      </c>
      <c r="EK5" s="171" t="s">
        <v>122</v>
      </c>
      <c r="EL5" s="165" t="s">
        <v>123</v>
      </c>
      <c r="EM5" s="44" t="s">
        <v>49</v>
      </c>
      <c r="EN5" s="44" t="s">
        <v>50</v>
      </c>
      <c r="EO5" s="45" t="s">
        <v>83</v>
      </c>
      <c r="EP5" s="53" t="s">
        <v>84</v>
      </c>
      <c r="EQ5" s="44" t="s">
        <v>48</v>
      </c>
      <c r="ER5" s="175" t="s">
        <v>125</v>
      </c>
      <c r="ES5" s="171" t="s">
        <v>122</v>
      </c>
      <c r="ET5" s="165" t="s">
        <v>123</v>
      </c>
      <c r="EU5" s="44" t="s">
        <v>49</v>
      </c>
      <c r="EV5" s="44" t="s">
        <v>50</v>
      </c>
      <c r="EW5" s="54" t="s">
        <v>85</v>
      </c>
      <c r="EX5" s="46" t="s">
        <v>86</v>
      </c>
      <c r="EY5" s="44" t="s">
        <v>48</v>
      </c>
      <c r="EZ5" s="175" t="s">
        <v>125</v>
      </c>
      <c r="FA5" s="171" t="s">
        <v>122</v>
      </c>
      <c r="FB5" s="165" t="s">
        <v>123</v>
      </c>
      <c r="FC5" s="44" t="s">
        <v>49</v>
      </c>
      <c r="FD5" s="44" t="s">
        <v>50</v>
      </c>
      <c r="FE5" s="45" t="s">
        <v>87</v>
      </c>
      <c r="FF5" s="53" t="s">
        <v>88</v>
      </c>
      <c r="FG5" s="44" t="s">
        <v>48</v>
      </c>
      <c r="FH5" s="175" t="s">
        <v>125</v>
      </c>
      <c r="FI5" s="171" t="s">
        <v>122</v>
      </c>
      <c r="FJ5" s="165" t="s">
        <v>123</v>
      </c>
      <c r="FK5" s="44" t="s">
        <v>49</v>
      </c>
      <c r="FL5" s="44" t="s">
        <v>50</v>
      </c>
      <c r="FM5" s="54" t="s">
        <v>89</v>
      </c>
      <c r="FN5" s="300"/>
      <c r="FO5" s="326"/>
      <c r="FP5" s="329"/>
      <c r="FQ5" s="308"/>
      <c r="FR5" s="311"/>
      <c r="FS5" s="318"/>
      <c r="FT5" s="311"/>
      <c r="FU5" s="293"/>
    </row>
    <row r="6" spans="1:268" s="27" customFormat="1" ht="31.5" x14ac:dyDescent="0.2">
      <c r="A6" s="277"/>
      <c r="B6" s="39" t="s">
        <v>90</v>
      </c>
      <c r="C6" s="47" t="s">
        <v>91</v>
      </c>
      <c r="D6" s="47" t="s">
        <v>92</v>
      </c>
      <c r="E6" s="47" t="s">
        <v>93</v>
      </c>
      <c r="F6" s="40" t="s">
        <v>94</v>
      </c>
      <c r="G6" s="39" t="s">
        <v>5</v>
      </c>
      <c r="H6" s="52" t="s">
        <v>6</v>
      </c>
      <c r="I6" s="40" t="s">
        <v>96</v>
      </c>
      <c r="J6" s="56" t="s">
        <v>97</v>
      </c>
      <c r="K6" s="49" t="s">
        <v>108</v>
      </c>
      <c r="L6" s="47" t="s">
        <v>124</v>
      </c>
      <c r="M6" s="47" t="s">
        <v>95</v>
      </c>
      <c r="N6" s="47" t="s">
        <v>112</v>
      </c>
      <c r="O6" s="47" t="s">
        <v>111</v>
      </c>
      <c r="P6" s="47" t="s">
        <v>110</v>
      </c>
      <c r="Q6" s="40" t="s">
        <v>109</v>
      </c>
      <c r="R6" s="39" t="s">
        <v>94</v>
      </c>
      <c r="S6" s="47" t="s">
        <v>112</v>
      </c>
      <c r="T6" s="47" t="s">
        <v>113</v>
      </c>
      <c r="U6" s="47" t="s">
        <v>124</v>
      </c>
      <c r="V6" s="47" t="s">
        <v>95</v>
      </c>
      <c r="W6" s="47" t="s">
        <v>111</v>
      </c>
      <c r="X6" s="47" t="s">
        <v>110</v>
      </c>
      <c r="Y6" s="40" t="s">
        <v>109</v>
      </c>
      <c r="Z6" s="49" t="s">
        <v>94</v>
      </c>
      <c r="AA6" s="47" t="s">
        <v>112</v>
      </c>
      <c r="AB6" s="47" t="s">
        <v>113</v>
      </c>
      <c r="AC6" s="47" t="s">
        <v>124</v>
      </c>
      <c r="AD6" s="47" t="s">
        <v>95</v>
      </c>
      <c r="AE6" s="47" t="s">
        <v>111</v>
      </c>
      <c r="AF6" s="47" t="s">
        <v>110</v>
      </c>
      <c r="AG6" s="52" t="s">
        <v>109</v>
      </c>
      <c r="AH6" s="39" t="s">
        <v>94</v>
      </c>
      <c r="AI6" s="47" t="s">
        <v>112</v>
      </c>
      <c r="AJ6" s="47" t="s">
        <v>113</v>
      </c>
      <c r="AK6" s="47" t="s">
        <v>124</v>
      </c>
      <c r="AL6" s="47" t="s">
        <v>95</v>
      </c>
      <c r="AM6" s="47" t="s">
        <v>111</v>
      </c>
      <c r="AN6" s="47" t="s">
        <v>110</v>
      </c>
      <c r="AO6" s="40" t="s">
        <v>109</v>
      </c>
      <c r="AP6" s="39" t="s">
        <v>94</v>
      </c>
      <c r="AQ6" s="47" t="s">
        <v>112</v>
      </c>
      <c r="AR6" s="47" t="s">
        <v>113</v>
      </c>
      <c r="AS6" s="47" t="s">
        <v>124</v>
      </c>
      <c r="AT6" s="47" t="s">
        <v>95</v>
      </c>
      <c r="AU6" s="47" t="s">
        <v>111</v>
      </c>
      <c r="AV6" s="47" t="s">
        <v>110</v>
      </c>
      <c r="AW6" s="40" t="s">
        <v>109</v>
      </c>
      <c r="AX6" s="39" t="s">
        <v>94</v>
      </c>
      <c r="AY6" s="47" t="s">
        <v>112</v>
      </c>
      <c r="AZ6" s="47" t="s">
        <v>113</v>
      </c>
      <c r="BA6" s="47" t="s">
        <v>124</v>
      </c>
      <c r="BB6" s="47" t="s">
        <v>95</v>
      </c>
      <c r="BC6" s="47" t="s">
        <v>111</v>
      </c>
      <c r="BD6" s="47" t="s">
        <v>110</v>
      </c>
      <c r="BE6" s="52" t="s">
        <v>109</v>
      </c>
      <c r="BF6" s="39" t="s">
        <v>94</v>
      </c>
      <c r="BG6" s="47" t="s">
        <v>112</v>
      </c>
      <c r="BH6" s="47" t="s">
        <v>113</v>
      </c>
      <c r="BI6" s="47" t="s">
        <v>124</v>
      </c>
      <c r="BJ6" s="47" t="s">
        <v>95</v>
      </c>
      <c r="BK6" s="47" t="s">
        <v>111</v>
      </c>
      <c r="BL6" s="47" t="s">
        <v>110</v>
      </c>
      <c r="BM6" s="40" t="s">
        <v>109</v>
      </c>
      <c r="BN6" s="39" t="s">
        <v>94</v>
      </c>
      <c r="BO6" s="47" t="s">
        <v>112</v>
      </c>
      <c r="BP6" s="47" t="s">
        <v>113</v>
      </c>
      <c r="BQ6" s="47" t="s">
        <v>124</v>
      </c>
      <c r="BR6" s="47" t="s">
        <v>95</v>
      </c>
      <c r="BS6" s="47" t="s">
        <v>111</v>
      </c>
      <c r="BT6" s="47" t="s">
        <v>110</v>
      </c>
      <c r="BU6" s="40" t="s">
        <v>109</v>
      </c>
      <c r="BV6" s="49" t="s">
        <v>94</v>
      </c>
      <c r="BW6" s="47" t="s">
        <v>112</v>
      </c>
      <c r="BX6" s="47" t="s">
        <v>113</v>
      </c>
      <c r="BY6" s="47" t="s">
        <v>124</v>
      </c>
      <c r="BZ6" s="47" t="s">
        <v>95</v>
      </c>
      <c r="CA6" s="47" t="s">
        <v>111</v>
      </c>
      <c r="CB6" s="47" t="s">
        <v>110</v>
      </c>
      <c r="CC6" s="52" t="s">
        <v>109</v>
      </c>
      <c r="CD6" s="39" t="s">
        <v>94</v>
      </c>
      <c r="CE6" s="47" t="s">
        <v>112</v>
      </c>
      <c r="CF6" s="47" t="s">
        <v>113</v>
      </c>
      <c r="CG6" s="47" t="s">
        <v>124</v>
      </c>
      <c r="CH6" s="47" t="s">
        <v>95</v>
      </c>
      <c r="CI6" s="47" t="s">
        <v>111</v>
      </c>
      <c r="CJ6" s="47" t="s">
        <v>110</v>
      </c>
      <c r="CK6" s="40" t="s">
        <v>109</v>
      </c>
      <c r="CL6" s="49" t="s">
        <v>94</v>
      </c>
      <c r="CM6" s="47" t="s">
        <v>112</v>
      </c>
      <c r="CN6" s="47" t="s">
        <v>113</v>
      </c>
      <c r="CO6" s="47" t="s">
        <v>124</v>
      </c>
      <c r="CP6" s="47" t="s">
        <v>95</v>
      </c>
      <c r="CQ6" s="47" t="s">
        <v>111</v>
      </c>
      <c r="CR6" s="47" t="s">
        <v>110</v>
      </c>
      <c r="CS6" s="52" t="s">
        <v>109</v>
      </c>
      <c r="CT6" s="39" t="s">
        <v>94</v>
      </c>
      <c r="CU6" s="47" t="s">
        <v>112</v>
      </c>
      <c r="CV6" s="47" t="s">
        <v>113</v>
      </c>
      <c r="CW6" s="47" t="s">
        <v>124</v>
      </c>
      <c r="CX6" s="47" t="s">
        <v>95</v>
      </c>
      <c r="CY6" s="47" t="s">
        <v>111</v>
      </c>
      <c r="CZ6" s="47" t="s">
        <v>110</v>
      </c>
      <c r="DA6" s="40" t="s">
        <v>109</v>
      </c>
      <c r="DB6" s="49" t="s">
        <v>94</v>
      </c>
      <c r="DC6" s="47" t="s">
        <v>112</v>
      </c>
      <c r="DD6" s="47" t="s">
        <v>113</v>
      </c>
      <c r="DE6" s="47" t="s">
        <v>124</v>
      </c>
      <c r="DF6" s="47" t="s">
        <v>95</v>
      </c>
      <c r="DG6" s="47" t="s">
        <v>111</v>
      </c>
      <c r="DH6" s="47" t="s">
        <v>110</v>
      </c>
      <c r="DI6" s="52" t="s">
        <v>109</v>
      </c>
      <c r="DJ6" s="39" t="s">
        <v>94</v>
      </c>
      <c r="DK6" s="47" t="s">
        <v>112</v>
      </c>
      <c r="DL6" s="47" t="s">
        <v>113</v>
      </c>
      <c r="DM6" s="47" t="s">
        <v>124</v>
      </c>
      <c r="DN6" s="47" t="s">
        <v>95</v>
      </c>
      <c r="DO6" s="47" t="s">
        <v>111</v>
      </c>
      <c r="DP6" s="47" t="s">
        <v>110</v>
      </c>
      <c r="DQ6" s="40" t="s">
        <v>109</v>
      </c>
      <c r="DR6" s="49" t="s">
        <v>94</v>
      </c>
      <c r="DS6" s="47" t="s">
        <v>112</v>
      </c>
      <c r="DT6" s="47" t="s">
        <v>113</v>
      </c>
      <c r="DU6" s="47" t="s">
        <v>124</v>
      </c>
      <c r="DV6" s="47" t="s">
        <v>95</v>
      </c>
      <c r="DW6" s="47" t="s">
        <v>111</v>
      </c>
      <c r="DX6" s="47" t="s">
        <v>110</v>
      </c>
      <c r="DY6" s="52" t="s">
        <v>109</v>
      </c>
      <c r="DZ6" s="39" t="s">
        <v>94</v>
      </c>
      <c r="EA6" s="47" t="s">
        <v>112</v>
      </c>
      <c r="EB6" s="47" t="s">
        <v>113</v>
      </c>
      <c r="EC6" s="47" t="s">
        <v>124</v>
      </c>
      <c r="ED6" s="47" t="s">
        <v>95</v>
      </c>
      <c r="EE6" s="47" t="s">
        <v>111</v>
      </c>
      <c r="EF6" s="47" t="s">
        <v>110</v>
      </c>
      <c r="EG6" s="40" t="s">
        <v>109</v>
      </c>
      <c r="EH6" s="49" t="s">
        <v>94</v>
      </c>
      <c r="EI6" s="47" t="s">
        <v>112</v>
      </c>
      <c r="EJ6" s="47" t="s">
        <v>113</v>
      </c>
      <c r="EK6" s="47" t="s">
        <v>124</v>
      </c>
      <c r="EL6" s="47" t="s">
        <v>95</v>
      </c>
      <c r="EM6" s="47" t="s">
        <v>111</v>
      </c>
      <c r="EN6" s="47" t="s">
        <v>110</v>
      </c>
      <c r="EO6" s="52" t="s">
        <v>109</v>
      </c>
      <c r="EP6" s="39" t="s">
        <v>94</v>
      </c>
      <c r="EQ6" s="47" t="s">
        <v>112</v>
      </c>
      <c r="ER6" s="47" t="s">
        <v>113</v>
      </c>
      <c r="ES6" s="47" t="s">
        <v>124</v>
      </c>
      <c r="ET6" s="47" t="s">
        <v>95</v>
      </c>
      <c r="EU6" s="47" t="s">
        <v>111</v>
      </c>
      <c r="EV6" s="47" t="s">
        <v>110</v>
      </c>
      <c r="EW6" s="40" t="s">
        <v>109</v>
      </c>
      <c r="EX6" s="49" t="s">
        <v>94</v>
      </c>
      <c r="EY6" s="47" t="s">
        <v>112</v>
      </c>
      <c r="EZ6" s="47" t="s">
        <v>113</v>
      </c>
      <c r="FA6" s="47" t="s">
        <v>124</v>
      </c>
      <c r="FB6" s="47" t="s">
        <v>95</v>
      </c>
      <c r="FC6" s="47" t="s">
        <v>111</v>
      </c>
      <c r="FD6" s="47" t="s">
        <v>110</v>
      </c>
      <c r="FE6" s="52" t="s">
        <v>109</v>
      </c>
      <c r="FF6" s="39" t="s">
        <v>94</v>
      </c>
      <c r="FG6" s="47" t="s">
        <v>112</v>
      </c>
      <c r="FH6" s="47" t="s">
        <v>113</v>
      </c>
      <c r="FI6" s="47" t="s">
        <v>124</v>
      </c>
      <c r="FJ6" s="47" t="s">
        <v>95</v>
      </c>
      <c r="FK6" s="47" t="s">
        <v>111</v>
      </c>
      <c r="FL6" s="47" t="s">
        <v>110</v>
      </c>
      <c r="FM6" s="40" t="s">
        <v>109</v>
      </c>
      <c r="FN6" s="75" t="s">
        <v>109</v>
      </c>
      <c r="FO6" s="56" t="s">
        <v>99</v>
      </c>
      <c r="FP6" s="56" t="s">
        <v>114</v>
      </c>
      <c r="FQ6" s="114" t="s">
        <v>117</v>
      </c>
      <c r="FR6" s="48" t="s">
        <v>115</v>
      </c>
      <c r="FS6" s="48"/>
      <c r="FT6" s="48"/>
      <c r="FU6" s="115" t="s">
        <v>116</v>
      </c>
    </row>
    <row r="7" spans="1:268" s="113" customFormat="1" ht="15" x14ac:dyDescent="0.2">
      <c r="A7" s="105">
        <v>1</v>
      </c>
      <c r="B7" s="106">
        <f t="shared" ref="B7:AA7" si="0">A7+1</f>
        <v>2</v>
      </c>
      <c r="C7" s="107">
        <f t="shared" si="0"/>
        <v>3</v>
      </c>
      <c r="D7" s="107">
        <f t="shared" si="0"/>
        <v>4</v>
      </c>
      <c r="E7" s="107">
        <f t="shared" si="0"/>
        <v>5</v>
      </c>
      <c r="F7" s="108">
        <f t="shared" si="0"/>
        <v>6</v>
      </c>
      <c r="G7" s="106">
        <f>F7+1</f>
        <v>7</v>
      </c>
      <c r="H7" s="111">
        <f t="shared" si="0"/>
        <v>8</v>
      </c>
      <c r="I7" s="108">
        <f>H7+1</f>
        <v>9</v>
      </c>
      <c r="J7" s="109">
        <f>I7+1</f>
        <v>10</v>
      </c>
      <c r="K7" s="110">
        <f>J7+1</f>
        <v>11</v>
      </c>
      <c r="L7" s="107">
        <f>K7+1</f>
        <v>12</v>
      </c>
      <c r="M7" s="107">
        <f>L7+1</f>
        <v>13</v>
      </c>
      <c r="N7" s="107">
        <f t="shared" si="0"/>
        <v>14</v>
      </c>
      <c r="O7" s="107">
        <f t="shared" si="0"/>
        <v>15</v>
      </c>
      <c r="P7" s="107">
        <f t="shared" si="0"/>
        <v>16</v>
      </c>
      <c r="Q7" s="108">
        <f t="shared" si="0"/>
        <v>17</v>
      </c>
      <c r="R7" s="106">
        <f t="shared" si="0"/>
        <v>18</v>
      </c>
      <c r="S7" s="107">
        <f t="shared" si="0"/>
        <v>19</v>
      </c>
      <c r="T7" s="107">
        <f t="shared" si="0"/>
        <v>20</v>
      </c>
      <c r="U7" s="107">
        <f>T7+1</f>
        <v>21</v>
      </c>
      <c r="V7" s="107">
        <f>U7+1</f>
        <v>22</v>
      </c>
      <c r="W7" s="107">
        <f t="shared" si="0"/>
        <v>23</v>
      </c>
      <c r="X7" s="107">
        <f t="shared" si="0"/>
        <v>24</v>
      </c>
      <c r="Y7" s="108">
        <f t="shared" si="0"/>
        <v>25</v>
      </c>
      <c r="Z7" s="110">
        <f t="shared" si="0"/>
        <v>26</v>
      </c>
      <c r="AA7" s="107">
        <f t="shared" si="0"/>
        <v>27</v>
      </c>
      <c r="AB7" s="107">
        <f t="shared" ref="AB7:BL7" si="1">AA7+1</f>
        <v>28</v>
      </c>
      <c r="AC7" s="107">
        <f>AB7+1</f>
        <v>29</v>
      </c>
      <c r="AD7" s="107">
        <f>AC7+1</f>
        <v>30</v>
      </c>
      <c r="AE7" s="107">
        <f t="shared" si="1"/>
        <v>31</v>
      </c>
      <c r="AF7" s="107">
        <f t="shared" si="1"/>
        <v>32</v>
      </c>
      <c r="AG7" s="111">
        <f t="shared" si="1"/>
        <v>33</v>
      </c>
      <c r="AH7" s="106">
        <f t="shared" si="1"/>
        <v>34</v>
      </c>
      <c r="AI7" s="107">
        <f t="shared" si="1"/>
        <v>35</v>
      </c>
      <c r="AJ7" s="107">
        <f t="shared" si="1"/>
        <v>36</v>
      </c>
      <c r="AK7" s="107">
        <f>AJ7+1</f>
        <v>37</v>
      </c>
      <c r="AL7" s="107">
        <f>AK7+1</f>
        <v>38</v>
      </c>
      <c r="AM7" s="107">
        <f t="shared" si="1"/>
        <v>39</v>
      </c>
      <c r="AN7" s="107">
        <f t="shared" si="1"/>
        <v>40</v>
      </c>
      <c r="AO7" s="108">
        <f t="shared" si="1"/>
        <v>41</v>
      </c>
      <c r="AP7" s="106">
        <f t="shared" si="1"/>
        <v>42</v>
      </c>
      <c r="AQ7" s="107">
        <f t="shared" si="1"/>
        <v>43</v>
      </c>
      <c r="AR7" s="107">
        <f t="shared" si="1"/>
        <v>44</v>
      </c>
      <c r="AS7" s="107">
        <f>AR7+1</f>
        <v>45</v>
      </c>
      <c r="AT7" s="107">
        <f>AS7+1</f>
        <v>46</v>
      </c>
      <c r="AU7" s="107">
        <f t="shared" si="1"/>
        <v>47</v>
      </c>
      <c r="AV7" s="107">
        <f t="shared" si="1"/>
        <v>48</v>
      </c>
      <c r="AW7" s="108">
        <f t="shared" si="1"/>
        <v>49</v>
      </c>
      <c r="AX7" s="106">
        <f t="shared" si="1"/>
        <v>50</v>
      </c>
      <c r="AY7" s="107">
        <f t="shared" si="1"/>
        <v>51</v>
      </c>
      <c r="AZ7" s="107">
        <f t="shared" si="1"/>
        <v>52</v>
      </c>
      <c r="BA7" s="107">
        <f>AZ7+1</f>
        <v>53</v>
      </c>
      <c r="BB7" s="107">
        <f>BA7+1</f>
        <v>54</v>
      </c>
      <c r="BC7" s="107">
        <f t="shared" si="1"/>
        <v>55</v>
      </c>
      <c r="BD7" s="107">
        <f t="shared" si="1"/>
        <v>56</v>
      </c>
      <c r="BE7" s="111">
        <f t="shared" si="1"/>
        <v>57</v>
      </c>
      <c r="BF7" s="106">
        <f t="shared" si="1"/>
        <v>58</v>
      </c>
      <c r="BG7" s="107">
        <f t="shared" si="1"/>
        <v>59</v>
      </c>
      <c r="BH7" s="107">
        <f t="shared" si="1"/>
        <v>60</v>
      </c>
      <c r="BI7" s="107">
        <f>BH7+1</f>
        <v>61</v>
      </c>
      <c r="BJ7" s="107">
        <f>BI7+1</f>
        <v>62</v>
      </c>
      <c r="BK7" s="107">
        <f t="shared" si="1"/>
        <v>63</v>
      </c>
      <c r="BL7" s="107">
        <f t="shared" si="1"/>
        <v>64</v>
      </c>
      <c r="BM7" s="108">
        <f t="shared" ref="BM7:CV7" si="2">BL7+1</f>
        <v>65</v>
      </c>
      <c r="BN7" s="106">
        <f t="shared" si="2"/>
        <v>66</v>
      </c>
      <c r="BO7" s="107">
        <f t="shared" si="2"/>
        <v>67</v>
      </c>
      <c r="BP7" s="107">
        <f t="shared" si="2"/>
        <v>68</v>
      </c>
      <c r="BQ7" s="107">
        <f>BP7+1</f>
        <v>69</v>
      </c>
      <c r="BR7" s="107">
        <f>BQ7+1</f>
        <v>70</v>
      </c>
      <c r="BS7" s="107">
        <f t="shared" si="2"/>
        <v>71</v>
      </c>
      <c r="BT7" s="107">
        <f t="shared" si="2"/>
        <v>72</v>
      </c>
      <c r="BU7" s="108">
        <f t="shared" si="2"/>
        <v>73</v>
      </c>
      <c r="BV7" s="110">
        <f t="shared" si="2"/>
        <v>74</v>
      </c>
      <c r="BW7" s="107">
        <f t="shared" si="2"/>
        <v>75</v>
      </c>
      <c r="BX7" s="107">
        <f t="shared" si="2"/>
        <v>76</v>
      </c>
      <c r="BY7" s="107">
        <f>BX7+1</f>
        <v>77</v>
      </c>
      <c r="BZ7" s="107">
        <f>BY7+1</f>
        <v>78</v>
      </c>
      <c r="CA7" s="107">
        <f t="shared" si="2"/>
        <v>79</v>
      </c>
      <c r="CB7" s="107">
        <f t="shared" si="2"/>
        <v>80</v>
      </c>
      <c r="CC7" s="111">
        <f t="shared" si="2"/>
        <v>81</v>
      </c>
      <c r="CD7" s="106">
        <f t="shared" si="2"/>
        <v>82</v>
      </c>
      <c r="CE7" s="107">
        <f t="shared" si="2"/>
        <v>83</v>
      </c>
      <c r="CF7" s="107">
        <f t="shared" si="2"/>
        <v>84</v>
      </c>
      <c r="CG7" s="107">
        <f>CF7+1</f>
        <v>85</v>
      </c>
      <c r="CH7" s="107">
        <f>CG7+1</f>
        <v>86</v>
      </c>
      <c r="CI7" s="107">
        <f t="shared" si="2"/>
        <v>87</v>
      </c>
      <c r="CJ7" s="107">
        <f t="shared" si="2"/>
        <v>88</v>
      </c>
      <c r="CK7" s="108">
        <f t="shared" si="2"/>
        <v>89</v>
      </c>
      <c r="CL7" s="110">
        <f t="shared" si="2"/>
        <v>90</v>
      </c>
      <c r="CM7" s="107">
        <f t="shared" si="2"/>
        <v>91</v>
      </c>
      <c r="CN7" s="107">
        <f t="shared" si="2"/>
        <v>92</v>
      </c>
      <c r="CO7" s="107">
        <f>CN7+1</f>
        <v>93</v>
      </c>
      <c r="CP7" s="107">
        <f>CO7+1</f>
        <v>94</v>
      </c>
      <c r="CQ7" s="107">
        <f t="shared" si="2"/>
        <v>95</v>
      </c>
      <c r="CR7" s="107">
        <f t="shared" si="2"/>
        <v>96</v>
      </c>
      <c r="CS7" s="111">
        <f t="shared" si="2"/>
        <v>97</v>
      </c>
      <c r="CT7" s="106">
        <f t="shared" si="2"/>
        <v>98</v>
      </c>
      <c r="CU7" s="107">
        <f t="shared" si="2"/>
        <v>99</v>
      </c>
      <c r="CV7" s="107">
        <f t="shared" si="2"/>
        <v>100</v>
      </c>
      <c r="CW7" s="107">
        <f>CV7+1</f>
        <v>101</v>
      </c>
      <c r="CX7" s="107">
        <f>CW7+1</f>
        <v>102</v>
      </c>
      <c r="CY7" s="107">
        <f t="shared" ref="CY7:EG7" si="3">CX7+1</f>
        <v>103</v>
      </c>
      <c r="CZ7" s="107">
        <f t="shared" si="3"/>
        <v>104</v>
      </c>
      <c r="DA7" s="108">
        <f t="shared" si="3"/>
        <v>105</v>
      </c>
      <c r="DB7" s="110">
        <f t="shared" si="3"/>
        <v>106</v>
      </c>
      <c r="DC7" s="107">
        <f t="shared" si="3"/>
        <v>107</v>
      </c>
      <c r="DD7" s="107">
        <f t="shared" si="3"/>
        <v>108</v>
      </c>
      <c r="DE7" s="107">
        <f>DD7+1</f>
        <v>109</v>
      </c>
      <c r="DF7" s="107">
        <f>DE7+1</f>
        <v>110</v>
      </c>
      <c r="DG7" s="107">
        <f t="shared" si="3"/>
        <v>111</v>
      </c>
      <c r="DH7" s="107">
        <f t="shared" si="3"/>
        <v>112</v>
      </c>
      <c r="DI7" s="111">
        <f t="shared" si="3"/>
        <v>113</v>
      </c>
      <c r="DJ7" s="106">
        <f t="shared" si="3"/>
        <v>114</v>
      </c>
      <c r="DK7" s="107">
        <f t="shared" si="3"/>
        <v>115</v>
      </c>
      <c r="DL7" s="107">
        <f t="shared" si="3"/>
        <v>116</v>
      </c>
      <c r="DM7" s="107">
        <f>DL7+1</f>
        <v>117</v>
      </c>
      <c r="DN7" s="107">
        <f>DM7+1</f>
        <v>118</v>
      </c>
      <c r="DO7" s="107">
        <f t="shared" si="3"/>
        <v>119</v>
      </c>
      <c r="DP7" s="107">
        <f t="shared" si="3"/>
        <v>120</v>
      </c>
      <c r="DQ7" s="108">
        <f t="shared" si="3"/>
        <v>121</v>
      </c>
      <c r="DR7" s="110">
        <f t="shared" si="3"/>
        <v>122</v>
      </c>
      <c r="DS7" s="107">
        <f t="shared" si="3"/>
        <v>123</v>
      </c>
      <c r="DT7" s="107">
        <f t="shared" si="3"/>
        <v>124</v>
      </c>
      <c r="DU7" s="107">
        <f>DT7+1</f>
        <v>125</v>
      </c>
      <c r="DV7" s="107">
        <f>DU7+1</f>
        <v>126</v>
      </c>
      <c r="DW7" s="107">
        <f t="shared" si="3"/>
        <v>127</v>
      </c>
      <c r="DX7" s="107">
        <f t="shared" si="3"/>
        <v>128</v>
      </c>
      <c r="DY7" s="111">
        <f t="shared" si="3"/>
        <v>129</v>
      </c>
      <c r="DZ7" s="106">
        <f t="shared" si="3"/>
        <v>130</v>
      </c>
      <c r="EA7" s="107">
        <f t="shared" si="3"/>
        <v>131</v>
      </c>
      <c r="EB7" s="107">
        <f t="shared" si="3"/>
        <v>132</v>
      </c>
      <c r="EC7" s="107">
        <f>EB7+1</f>
        <v>133</v>
      </c>
      <c r="ED7" s="107">
        <f>EC7+1</f>
        <v>134</v>
      </c>
      <c r="EE7" s="107">
        <f t="shared" si="3"/>
        <v>135</v>
      </c>
      <c r="EF7" s="107">
        <f t="shared" si="3"/>
        <v>136</v>
      </c>
      <c r="EG7" s="108">
        <f t="shared" si="3"/>
        <v>137</v>
      </c>
      <c r="EH7" s="110">
        <f t="shared" ref="EH7:FQ7" si="4">EG7+1</f>
        <v>138</v>
      </c>
      <c r="EI7" s="107">
        <f t="shared" si="4"/>
        <v>139</v>
      </c>
      <c r="EJ7" s="107">
        <f t="shared" si="4"/>
        <v>140</v>
      </c>
      <c r="EK7" s="107">
        <f>EJ7+1</f>
        <v>141</v>
      </c>
      <c r="EL7" s="107">
        <f>EK7+1</f>
        <v>142</v>
      </c>
      <c r="EM7" s="107">
        <f t="shared" si="4"/>
        <v>143</v>
      </c>
      <c r="EN7" s="107">
        <f t="shared" si="4"/>
        <v>144</v>
      </c>
      <c r="EO7" s="111">
        <f t="shared" si="4"/>
        <v>145</v>
      </c>
      <c r="EP7" s="106">
        <f t="shared" si="4"/>
        <v>146</v>
      </c>
      <c r="EQ7" s="107">
        <f t="shared" si="4"/>
        <v>147</v>
      </c>
      <c r="ER7" s="107">
        <f t="shared" si="4"/>
        <v>148</v>
      </c>
      <c r="ES7" s="107">
        <f>ER7+1</f>
        <v>149</v>
      </c>
      <c r="ET7" s="107">
        <f>ES7+1</f>
        <v>150</v>
      </c>
      <c r="EU7" s="107">
        <f t="shared" si="4"/>
        <v>151</v>
      </c>
      <c r="EV7" s="107">
        <f t="shared" si="4"/>
        <v>152</v>
      </c>
      <c r="EW7" s="108">
        <f t="shared" si="4"/>
        <v>153</v>
      </c>
      <c r="EX7" s="110">
        <f t="shared" si="4"/>
        <v>154</v>
      </c>
      <c r="EY7" s="107">
        <f t="shared" si="4"/>
        <v>155</v>
      </c>
      <c r="EZ7" s="107">
        <f t="shared" si="4"/>
        <v>156</v>
      </c>
      <c r="FA7" s="107">
        <f>EZ7+1</f>
        <v>157</v>
      </c>
      <c r="FB7" s="107">
        <f>FA7+1</f>
        <v>158</v>
      </c>
      <c r="FC7" s="107">
        <f t="shared" si="4"/>
        <v>159</v>
      </c>
      <c r="FD7" s="107">
        <f t="shared" si="4"/>
        <v>160</v>
      </c>
      <c r="FE7" s="111">
        <f t="shared" si="4"/>
        <v>161</v>
      </c>
      <c r="FF7" s="106">
        <f t="shared" si="4"/>
        <v>162</v>
      </c>
      <c r="FG7" s="107">
        <f t="shared" si="4"/>
        <v>163</v>
      </c>
      <c r="FH7" s="107">
        <f t="shared" si="4"/>
        <v>164</v>
      </c>
      <c r="FI7" s="107">
        <f>FH7+1</f>
        <v>165</v>
      </c>
      <c r="FJ7" s="107">
        <f>FI7+1</f>
        <v>166</v>
      </c>
      <c r="FK7" s="107">
        <f t="shared" si="4"/>
        <v>167</v>
      </c>
      <c r="FL7" s="107">
        <f t="shared" si="4"/>
        <v>168</v>
      </c>
      <c r="FM7" s="108">
        <f t="shared" si="4"/>
        <v>169</v>
      </c>
      <c r="FN7" s="112">
        <f t="shared" si="4"/>
        <v>170</v>
      </c>
      <c r="FO7" s="109">
        <f t="shared" si="4"/>
        <v>171</v>
      </c>
      <c r="FP7" s="109">
        <f t="shared" si="4"/>
        <v>172</v>
      </c>
      <c r="FQ7" s="106">
        <f t="shared" si="4"/>
        <v>173</v>
      </c>
      <c r="FR7" s="107">
        <f t="shared" ref="FR7" si="5">FQ7+1</f>
        <v>174</v>
      </c>
      <c r="FS7" s="107">
        <f t="shared" ref="FS7" si="6">FR7+1</f>
        <v>175</v>
      </c>
      <c r="FT7" s="107">
        <f t="shared" ref="FT7" si="7">FS7+1</f>
        <v>176</v>
      </c>
      <c r="FU7" s="149">
        <f t="shared" ref="FU7" si="8">FT7+1</f>
        <v>177</v>
      </c>
    </row>
    <row r="8" spans="1:268" s="28" customFormat="1" ht="15" x14ac:dyDescent="0.2">
      <c r="A8" s="70" t="s">
        <v>7</v>
      </c>
      <c r="B8" s="72" t="s">
        <v>8</v>
      </c>
      <c r="C8" s="69" t="s">
        <v>100</v>
      </c>
      <c r="D8" s="69" t="s">
        <v>8</v>
      </c>
      <c r="E8" s="69" t="s">
        <v>100</v>
      </c>
      <c r="F8" s="73" t="s">
        <v>8</v>
      </c>
      <c r="G8" s="72" t="s">
        <v>9</v>
      </c>
      <c r="H8" s="70" t="s">
        <v>8</v>
      </c>
      <c r="I8" s="73" t="s">
        <v>102</v>
      </c>
      <c r="J8" s="74" t="s">
        <v>8</v>
      </c>
      <c r="K8" s="71" t="s">
        <v>101</v>
      </c>
      <c r="L8" s="69" t="s">
        <v>102</v>
      </c>
      <c r="M8" s="69" t="s">
        <v>102</v>
      </c>
      <c r="N8" s="69" t="s">
        <v>102</v>
      </c>
      <c r="O8" s="69" t="s">
        <v>102</v>
      </c>
      <c r="P8" s="69" t="s">
        <v>8</v>
      </c>
      <c r="Q8" s="73" t="s">
        <v>8</v>
      </c>
      <c r="R8" s="72" t="s">
        <v>8</v>
      </c>
      <c r="S8" s="69" t="s">
        <v>102</v>
      </c>
      <c r="T8" s="69" t="s">
        <v>101</v>
      </c>
      <c r="U8" s="69" t="s">
        <v>102</v>
      </c>
      <c r="V8" s="69" t="s">
        <v>102</v>
      </c>
      <c r="W8" s="69" t="s">
        <v>102</v>
      </c>
      <c r="X8" s="69" t="s">
        <v>8</v>
      </c>
      <c r="Y8" s="73" t="s">
        <v>8</v>
      </c>
      <c r="Z8" s="71" t="s">
        <v>8</v>
      </c>
      <c r="AA8" s="69" t="s">
        <v>102</v>
      </c>
      <c r="AB8" s="69" t="s">
        <v>101</v>
      </c>
      <c r="AC8" s="69" t="s">
        <v>102</v>
      </c>
      <c r="AD8" s="69" t="s">
        <v>102</v>
      </c>
      <c r="AE8" s="69" t="s">
        <v>102</v>
      </c>
      <c r="AF8" s="69" t="s">
        <v>8</v>
      </c>
      <c r="AG8" s="70" t="s">
        <v>8</v>
      </c>
      <c r="AH8" s="72" t="s">
        <v>8</v>
      </c>
      <c r="AI8" s="69" t="s">
        <v>102</v>
      </c>
      <c r="AJ8" s="69" t="s">
        <v>101</v>
      </c>
      <c r="AK8" s="69" t="s">
        <v>102</v>
      </c>
      <c r="AL8" s="69" t="s">
        <v>102</v>
      </c>
      <c r="AM8" s="69" t="s">
        <v>102</v>
      </c>
      <c r="AN8" s="69" t="s">
        <v>8</v>
      </c>
      <c r="AO8" s="73" t="s">
        <v>8</v>
      </c>
      <c r="AP8" s="72" t="s">
        <v>8</v>
      </c>
      <c r="AQ8" s="69" t="s">
        <v>102</v>
      </c>
      <c r="AR8" s="69" t="s">
        <v>101</v>
      </c>
      <c r="AS8" s="69" t="s">
        <v>102</v>
      </c>
      <c r="AT8" s="69" t="s">
        <v>102</v>
      </c>
      <c r="AU8" s="69" t="s">
        <v>102</v>
      </c>
      <c r="AV8" s="69" t="s">
        <v>8</v>
      </c>
      <c r="AW8" s="73" t="s">
        <v>8</v>
      </c>
      <c r="AX8" s="72" t="s">
        <v>8</v>
      </c>
      <c r="AY8" s="69" t="s">
        <v>102</v>
      </c>
      <c r="AZ8" s="69" t="s">
        <v>101</v>
      </c>
      <c r="BA8" s="69" t="s">
        <v>102</v>
      </c>
      <c r="BB8" s="69" t="s">
        <v>102</v>
      </c>
      <c r="BC8" s="69" t="s">
        <v>102</v>
      </c>
      <c r="BD8" s="69" t="s">
        <v>8</v>
      </c>
      <c r="BE8" s="70" t="s">
        <v>8</v>
      </c>
      <c r="BF8" s="72" t="s">
        <v>8</v>
      </c>
      <c r="BG8" s="69" t="s">
        <v>102</v>
      </c>
      <c r="BH8" s="69" t="s">
        <v>101</v>
      </c>
      <c r="BI8" s="69" t="s">
        <v>102</v>
      </c>
      <c r="BJ8" s="69" t="s">
        <v>102</v>
      </c>
      <c r="BK8" s="69" t="s">
        <v>102</v>
      </c>
      <c r="BL8" s="69" t="s">
        <v>8</v>
      </c>
      <c r="BM8" s="73" t="s">
        <v>8</v>
      </c>
      <c r="BN8" s="72" t="s">
        <v>8</v>
      </c>
      <c r="BO8" s="69" t="s">
        <v>102</v>
      </c>
      <c r="BP8" s="69" t="s">
        <v>101</v>
      </c>
      <c r="BQ8" s="69" t="s">
        <v>102</v>
      </c>
      <c r="BR8" s="69" t="s">
        <v>102</v>
      </c>
      <c r="BS8" s="69" t="s">
        <v>102</v>
      </c>
      <c r="BT8" s="69" t="s">
        <v>8</v>
      </c>
      <c r="BU8" s="73" t="s">
        <v>8</v>
      </c>
      <c r="BV8" s="71" t="s">
        <v>8</v>
      </c>
      <c r="BW8" s="69" t="s">
        <v>102</v>
      </c>
      <c r="BX8" s="69" t="s">
        <v>101</v>
      </c>
      <c r="BY8" s="69" t="s">
        <v>102</v>
      </c>
      <c r="BZ8" s="69" t="s">
        <v>102</v>
      </c>
      <c r="CA8" s="69" t="s">
        <v>102</v>
      </c>
      <c r="CB8" s="69" t="s">
        <v>8</v>
      </c>
      <c r="CC8" s="70" t="s">
        <v>8</v>
      </c>
      <c r="CD8" s="72" t="s">
        <v>8</v>
      </c>
      <c r="CE8" s="69" t="s">
        <v>102</v>
      </c>
      <c r="CF8" s="69" t="s">
        <v>101</v>
      </c>
      <c r="CG8" s="69" t="s">
        <v>102</v>
      </c>
      <c r="CH8" s="69" t="s">
        <v>102</v>
      </c>
      <c r="CI8" s="69" t="s">
        <v>102</v>
      </c>
      <c r="CJ8" s="69" t="s">
        <v>8</v>
      </c>
      <c r="CK8" s="73" t="s">
        <v>8</v>
      </c>
      <c r="CL8" s="71" t="s">
        <v>8</v>
      </c>
      <c r="CM8" s="69" t="s">
        <v>102</v>
      </c>
      <c r="CN8" s="69" t="s">
        <v>101</v>
      </c>
      <c r="CO8" s="69" t="s">
        <v>102</v>
      </c>
      <c r="CP8" s="69" t="s">
        <v>102</v>
      </c>
      <c r="CQ8" s="69" t="s">
        <v>102</v>
      </c>
      <c r="CR8" s="69" t="s">
        <v>8</v>
      </c>
      <c r="CS8" s="70" t="s">
        <v>8</v>
      </c>
      <c r="CT8" s="72" t="s">
        <v>8</v>
      </c>
      <c r="CU8" s="69" t="s">
        <v>102</v>
      </c>
      <c r="CV8" s="69" t="s">
        <v>101</v>
      </c>
      <c r="CW8" s="69" t="s">
        <v>102</v>
      </c>
      <c r="CX8" s="69" t="s">
        <v>102</v>
      </c>
      <c r="CY8" s="69" t="s">
        <v>102</v>
      </c>
      <c r="CZ8" s="69" t="s">
        <v>8</v>
      </c>
      <c r="DA8" s="73" t="s">
        <v>8</v>
      </c>
      <c r="DB8" s="71" t="s">
        <v>8</v>
      </c>
      <c r="DC8" s="69" t="s">
        <v>102</v>
      </c>
      <c r="DD8" s="69" t="s">
        <v>101</v>
      </c>
      <c r="DE8" s="69" t="s">
        <v>102</v>
      </c>
      <c r="DF8" s="69" t="s">
        <v>102</v>
      </c>
      <c r="DG8" s="69" t="s">
        <v>102</v>
      </c>
      <c r="DH8" s="69" t="s">
        <v>8</v>
      </c>
      <c r="DI8" s="70" t="s">
        <v>8</v>
      </c>
      <c r="DJ8" s="72" t="s">
        <v>8</v>
      </c>
      <c r="DK8" s="69" t="s">
        <v>102</v>
      </c>
      <c r="DL8" s="69" t="s">
        <v>101</v>
      </c>
      <c r="DM8" s="69" t="s">
        <v>102</v>
      </c>
      <c r="DN8" s="69" t="s">
        <v>102</v>
      </c>
      <c r="DO8" s="69" t="s">
        <v>102</v>
      </c>
      <c r="DP8" s="69" t="s">
        <v>8</v>
      </c>
      <c r="DQ8" s="73" t="s">
        <v>8</v>
      </c>
      <c r="DR8" s="71" t="s">
        <v>8</v>
      </c>
      <c r="DS8" s="69" t="s">
        <v>102</v>
      </c>
      <c r="DT8" s="69" t="s">
        <v>101</v>
      </c>
      <c r="DU8" s="69" t="s">
        <v>102</v>
      </c>
      <c r="DV8" s="69" t="s">
        <v>102</v>
      </c>
      <c r="DW8" s="69" t="s">
        <v>102</v>
      </c>
      <c r="DX8" s="69" t="s">
        <v>8</v>
      </c>
      <c r="DY8" s="70" t="s">
        <v>8</v>
      </c>
      <c r="DZ8" s="72" t="s">
        <v>8</v>
      </c>
      <c r="EA8" s="69" t="s">
        <v>102</v>
      </c>
      <c r="EB8" s="69" t="s">
        <v>101</v>
      </c>
      <c r="EC8" s="69" t="s">
        <v>102</v>
      </c>
      <c r="ED8" s="69" t="s">
        <v>102</v>
      </c>
      <c r="EE8" s="69" t="s">
        <v>102</v>
      </c>
      <c r="EF8" s="69" t="s">
        <v>8</v>
      </c>
      <c r="EG8" s="73" t="s">
        <v>8</v>
      </c>
      <c r="EH8" s="71" t="s">
        <v>8</v>
      </c>
      <c r="EI8" s="69" t="s">
        <v>102</v>
      </c>
      <c r="EJ8" s="69" t="s">
        <v>101</v>
      </c>
      <c r="EK8" s="69" t="s">
        <v>102</v>
      </c>
      <c r="EL8" s="69" t="s">
        <v>102</v>
      </c>
      <c r="EM8" s="69" t="s">
        <v>102</v>
      </c>
      <c r="EN8" s="69" t="s">
        <v>8</v>
      </c>
      <c r="EO8" s="70" t="s">
        <v>8</v>
      </c>
      <c r="EP8" s="72" t="s">
        <v>8</v>
      </c>
      <c r="EQ8" s="69" t="s">
        <v>102</v>
      </c>
      <c r="ER8" s="69" t="s">
        <v>101</v>
      </c>
      <c r="ES8" s="69" t="s">
        <v>102</v>
      </c>
      <c r="ET8" s="69" t="s">
        <v>102</v>
      </c>
      <c r="EU8" s="69" t="s">
        <v>102</v>
      </c>
      <c r="EV8" s="69" t="s">
        <v>8</v>
      </c>
      <c r="EW8" s="73" t="s">
        <v>8</v>
      </c>
      <c r="EX8" s="71" t="s">
        <v>8</v>
      </c>
      <c r="EY8" s="69" t="s">
        <v>102</v>
      </c>
      <c r="EZ8" s="69" t="s">
        <v>101</v>
      </c>
      <c r="FA8" s="69" t="s">
        <v>102</v>
      </c>
      <c r="FB8" s="69" t="s">
        <v>102</v>
      </c>
      <c r="FC8" s="69" t="s">
        <v>102</v>
      </c>
      <c r="FD8" s="69" t="s">
        <v>8</v>
      </c>
      <c r="FE8" s="70" t="s">
        <v>8</v>
      </c>
      <c r="FF8" s="72" t="s">
        <v>8</v>
      </c>
      <c r="FG8" s="69" t="s">
        <v>102</v>
      </c>
      <c r="FH8" s="69" t="s">
        <v>101</v>
      </c>
      <c r="FI8" s="69" t="s">
        <v>102</v>
      </c>
      <c r="FJ8" s="69" t="s">
        <v>102</v>
      </c>
      <c r="FK8" s="69" t="s">
        <v>102</v>
      </c>
      <c r="FL8" s="69" t="s">
        <v>8</v>
      </c>
      <c r="FM8" s="73" t="s">
        <v>8</v>
      </c>
      <c r="FN8" s="76" t="s">
        <v>8</v>
      </c>
      <c r="FO8" s="74" t="s">
        <v>8</v>
      </c>
      <c r="FP8" s="74" t="s">
        <v>8</v>
      </c>
      <c r="FQ8" s="72" t="s">
        <v>8</v>
      </c>
      <c r="FR8" s="69" t="s">
        <v>8</v>
      </c>
      <c r="FS8" s="69" t="s">
        <v>8</v>
      </c>
      <c r="FT8" s="69" t="s">
        <v>8</v>
      </c>
      <c r="FU8" s="73" t="s">
        <v>8</v>
      </c>
    </row>
    <row r="9" spans="1:268" ht="22.5" customHeight="1" x14ac:dyDescent="0.2">
      <c r="A9" s="208" t="s">
        <v>132</v>
      </c>
      <c r="B9" s="58" t="s">
        <v>17</v>
      </c>
      <c r="C9" s="59" t="s">
        <v>17</v>
      </c>
      <c r="D9" s="59" t="s">
        <v>17</v>
      </c>
      <c r="E9" s="59" t="s">
        <v>17</v>
      </c>
      <c r="F9" s="60" t="s">
        <v>17</v>
      </c>
      <c r="G9" s="61">
        <f>'Исходные данные'!C11</f>
        <v>583</v>
      </c>
      <c r="H9" s="193">
        <f>'Исходные данные'!D11</f>
        <v>883700</v>
      </c>
      <c r="I9" s="197">
        <f>'Расчет поправочного коэф'!G10</f>
        <v>4.9714285714285715</v>
      </c>
      <c r="J9" s="189">
        <f t="shared" ref="J9:J19" si="9">$D$20*G9/$G$20</f>
        <v>183311.35449525327</v>
      </c>
      <c r="K9" s="186">
        <f t="shared" ref="K9:K20" si="10">(H9+J9)/G9</f>
        <v>1830.2081552234188</v>
      </c>
      <c r="L9" s="172">
        <f>K9/K$20</f>
        <v>1.1371848501302908</v>
      </c>
      <c r="M9" s="210">
        <f>L9/$I9</f>
        <v>0.22874407904919641</v>
      </c>
      <c r="N9" s="59" t="s">
        <v>17</v>
      </c>
      <c r="O9" s="63">
        <f>$N$20-M9</f>
        <v>0.12130344768107493</v>
      </c>
      <c r="P9" s="64">
        <f t="shared" ref="P9:P19" si="11">IF(O9&gt;0,G9*$K$20*O9,0)</f>
        <v>113818.04462159198</v>
      </c>
      <c r="Q9" s="65">
        <f>IF(($F$20-P$20)&gt;0,P9,$F$20*P9/P$20)</f>
        <v>113818.04462159198</v>
      </c>
      <c r="R9" s="58" t="s">
        <v>17</v>
      </c>
      <c r="S9" s="59" t="s">
        <v>17</v>
      </c>
      <c r="T9" s="62">
        <f t="shared" ref="T9:T20" si="12">($H9+$J9+$Q9)/$G9</f>
        <v>2025.4363621215182</v>
      </c>
      <c r="U9" s="176">
        <f>T9/T$20</f>
        <v>1.1815845022193576</v>
      </c>
      <c r="V9" s="167">
        <f>U9/$I9</f>
        <v>0.23767504354987079</v>
      </c>
      <c r="W9" s="63">
        <f t="shared" ref="W9:W19" si="13">S$20-V9</f>
        <v>0.11739854787275755</v>
      </c>
      <c r="X9" s="64">
        <f>IF(W9&gt;0,$G9*T$20*W9,0)</f>
        <v>117323.5231855154</v>
      </c>
      <c r="Y9" s="65">
        <f>IF((R$20-X$20)&gt;0,X9,R$20*X9/X$20)</f>
        <v>117323.5231855154</v>
      </c>
      <c r="Z9" s="66" t="s">
        <v>17</v>
      </c>
      <c r="AA9" s="59" t="s">
        <v>17</v>
      </c>
      <c r="AB9" s="62">
        <f t="shared" ref="AB9:AB20" si="14">($H9+$J9+$Q9+$Y9)/$G9</f>
        <v>2226.6773967450436</v>
      </c>
      <c r="AC9" s="176">
        <f>AB9/AB$20</f>
        <v>1.2232461718770316</v>
      </c>
      <c r="AD9" s="167">
        <f>AC9/$I9</f>
        <v>0.24605526445802359</v>
      </c>
      <c r="AE9" s="63">
        <f t="shared" ref="AE9:AE19" si="15">AA$20-AD9</f>
        <v>0.11353072628565866</v>
      </c>
      <c r="AF9" s="64">
        <f>IF(AE9&gt;0,$G9*AB$20*AE9,0)</f>
        <v>120482.89828096252</v>
      </c>
      <c r="AG9" s="65">
        <f>IF((Z$20-AF$20)&gt;0,AF9,Z$20*AF9/AF$20)</f>
        <v>120482.89828096252</v>
      </c>
      <c r="AH9" s="58" t="s">
        <v>17</v>
      </c>
      <c r="AI9" s="59" t="s">
        <v>17</v>
      </c>
      <c r="AJ9" s="62">
        <f t="shared" ref="AJ9:AJ20" si="16">($H9+$J9+$Q9+$Y9+$AG9)/$G9</f>
        <v>2433.3375996283412</v>
      </c>
      <c r="AK9" s="176">
        <f>AJ9/AJ$20</f>
        <v>1.2623398066144986</v>
      </c>
      <c r="AL9" s="167">
        <f>AK9/$I9</f>
        <v>0.25391892661785892</v>
      </c>
      <c r="AM9" s="63">
        <f t="shared" ref="AM9:AM19" si="17">AI$20-AL9</f>
        <v>0.10973162680479331</v>
      </c>
      <c r="AN9" s="64">
        <f>IF(AM9&gt;0,$G9*AJ$20*AM9,0)</f>
        <v>123317.99696125733</v>
      </c>
      <c r="AO9" s="65">
        <f>IF((AH$20-AN$20)&gt;0,AN9,AH$20*AN9/AN$20)</f>
        <v>123317.99696125733</v>
      </c>
      <c r="AP9" s="58" t="s">
        <v>17</v>
      </c>
      <c r="AQ9" s="59" t="s">
        <v>17</v>
      </c>
      <c r="AR9" s="62">
        <f t="shared" ref="AR9:AR20" si="18">($H9+$J9+$Q9+$Y9+$AG9+$AO9)/$G9</f>
        <v>2644.8607505052837</v>
      </c>
      <c r="AS9" s="176">
        <f>AR9/AR$20</f>
        <v>1.2990029058277166</v>
      </c>
      <c r="AT9" s="167">
        <f>AS9/$I9</f>
        <v>0.26129368795385105</v>
      </c>
      <c r="AU9" s="63">
        <f t="shared" ref="AU9:AU19" si="19">AQ$20-AT9</f>
        <v>0.10603158498511694</v>
      </c>
      <c r="AV9" s="64">
        <f>IF(AU9&gt;0,$G9*AR$20*AU9,0)</f>
        <v>125862.54158063269</v>
      </c>
      <c r="AW9" s="65">
        <f>IF((AP$20-AV$20)&gt;0,AV9,AP$20*AV9/AV$20)</f>
        <v>125862.54158063269</v>
      </c>
      <c r="AX9" s="58" t="s">
        <v>17</v>
      </c>
      <c r="AY9" s="59" t="s">
        <v>17</v>
      </c>
      <c r="AZ9" s="62">
        <f t="shared" ref="AZ9:AZ20" si="20">($H9+$J9+$Q9+$Y9+$AG9+$AO9+$AW9)/$G9</f>
        <v>2860.748471912887</v>
      </c>
      <c r="BA9" s="176">
        <f>AZ9/AZ$20</f>
        <v>1.3333623565788895</v>
      </c>
      <c r="BB9" s="167">
        <f>BA9/$I9</f>
        <v>0.26820507172563868</v>
      </c>
      <c r="BC9" s="63">
        <f t="shared" ref="BC9:BC19" si="21">AY$20-BB9</f>
        <v>0.10245522890369607</v>
      </c>
      <c r="BD9" s="64">
        <f>IF(BC9&gt;0,$G9*AZ$20*BC9,0)</f>
        <v>128154.59053601429</v>
      </c>
      <c r="BE9" s="65">
        <f>IF((AX$20-BD$20)&gt;0,BD9,AX$20*BD9/BD$20)</f>
        <v>128154.59053601429</v>
      </c>
      <c r="BF9" s="58" t="s">
        <v>17</v>
      </c>
      <c r="BG9" s="59" t="s">
        <v>17</v>
      </c>
      <c r="BH9" s="62">
        <f t="shared" ref="BH9:BH20" si="22">($H9+$J9+$Q9+$Y9+$AG9+$AO9+$AW9+$BE9)/$G9</f>
        <v>3080.5676666573368</v>
      </c>
      <c r="BI9" s="176">
        <f>BH9/BH$20</f>
        <v>1.3655434836489333</v>
      </c>
      <c r="BJ9" s="167">
        <f>BI9/$I9</f>
        <v>0.27467828694087737</v>
      </c>
      <c r="BK9" s="63">
        <f t="shared" ref="BK9:BK19" si="23">BG$20-BJ9</f>
        <v>9.902031219035734E-2</v>
      </c>
      <c r="BL9" s="64">
        <f>IF(BK9&gt;0,$G9*BH$20*BK9,0)</f>
        <v>130232.10630031276</v>
      </c>
      <c r="BM9" s="65">
        <f>IF((BF$20-BL$20)&gt;0,BL9,BF$20*BL9/BL$20)</f>
        <v>130232.10630031276</v>
      </c>
      <c r="BN9" s="58" t="s">
        <v>17</v>
      </c>
      <c r="BO9" s="59" t="s">
        <v>17</v>
      </c>
      <c r="BP9" s="62">
        <f t="shared" ref="BP9:BP20" si="24">($H9+$J9+$Q9+$Y9+$AG9+$AO9+$AW9+$BE9+$BM9)/$G9</f>
        <v>3303.9503532787999</v>
      </c>
      <c r="BQ9" s="176">
        <f>BP9/BP$20</f>
        <v>1.3956726540812465</v>
      </c>
      <c r="BR9" s="167">
        <f>BQ9/$I9</f>
        <v>0.28073875225772199</v>
      </c>
      <c r="BS9" s="63">
        <f t="shared" ref="BS9:BS19" si="25">BO$20-BR9</f>
        <v>9.5738071284742987E-2</v>
      </c>
      <c r="BT9" s="64">
        <f>IF(BS9&gt;0,$G9*BP$20*BS9,0)</f>
        <v>132130.52856003051</v>
      </c>
      <c r="BU9" s="65">
        <f>IF((BN$20-BT$20)&gt;0,BT9,BN$20*BT9/BT$20)</f>
        <v>132130.52856003051</v>
      </c>
      <c r="BV9" s="66" t="s">
        <v>17</v>
      </c>
      <c r="BW9" s="59" t="s">
        <v>17</v>
      </c>
      <c r="BX9" s="62">
        <f t="shared" ref="BX9:BX20" si="26">($H9+$J9+$Q9+$Y9+$AG9+$AO9+$AW9+$BE9+$BM9+$BU9)/$G9</f>
        <v>3530.5893388020081</v>
      </c>
      <c r="BY9" s="176">
        <f>BX9/BX$20</f>
        <v>1.4238768970802329</v>
      </c>
      <c r="BZ9" s="167">
        <f>BY9/$I9</f>
        <v>0.28641201952763307</v>
      </c>
      <c r="CA9" s="63">
        <f t="shared" ref="CA9:CA19" si="27">BW$20-BZ9</f>
        <v>9.2614203691377683E-2</v>
      </c>
      <c r="CB9" s="64">
        <f>IF(CA9&gt;0,$G9*BX$20*CA9,0)</f>
        <v>133881.60609431015</v>
      </c>
      <c r="CC9" s="65">
        <f>IF((BV$20-CB$20)&gt;0,CB9,BV$20*CB9/CB$20)</f>
        <v>29294.815732891519</v>
      </c>
      <c r="CD9" s="58" t="s">
        <v>17</v>
      </c>
      <c r="CE9" s="59" t="s">
        <v>17</v>
      </c>
      <c r="CF9" s="62">
        <f t="shared" ref="CF9:CF20" si="28">($H9+$J9+$Q9+$Y9+$AG9+$AO9+$AW9+$BE9+$BM9+$BU9+$CC9)/$G9</f>
        <v>3580.8377362855267</v>
      </c>
      <c r="CG9" s="176">
        <f>CF9/CF$20</f>
        <v>1.4298587313064233</v>
      </c>
      <c r="CH9" s="167">
        <f>CG9/$I9</f>
        <v>0.28761526204439547</v>
      </c>
      <c r="CI9" s="63">
        <f t="shared" ref="CI9:CI19" si="29">CE$20-CH9</f>
        <v>9.1942701686367423E-2</v>
      </c>
      <c r="CJ9" s="64">
        <f>IF(CI9&gt;0,$G9*CF$20*CI9,0)</f>
        <v>134238.57268837464</v>
      </c>
      <c r="CK9" s="65">
        <f>IF((CD$20-CJ$20)&gt;0,CJ9,CD$20*CJ9/CJ$20)</f>
        <v>0</v>
      </c>
      <c r="CL9" s="66" t="s">
        <v>17</v>
      </c>
      <c r="CM9" s="59" t="s">
        <v>17</v>
      </c>
      <c r="CN9" s="62">
        <f t="shared" ref="CN9:CN20" si="30">($H9+$J9+$Q9+$Y9+$AG9+$AO9+$AW9+$BE9+$BM9+$BU9+$CC9+$CK9)/$G9</f>
        <v>3580.8377362855267</v>
      </c>
      <c r="CO9" s="176">
        <f>CN9/CN$20</f>
        <v>1.4298587313064233</v>
      </c>
      <c r="CP9" s="167">
        <f>CO9/$I9</f>
        <v>0.28761526204439547</v>
      </c>
      <c r="CQ9" s="63">
        <f t="shared" ref="CQ9:CQ19" si="31">CM$20-CP9</f>
        <v>9.1942701686367423E-2</v>
      </c>
      <c r="CR9" s="64">
        <f>IF(CQ9&gt;0,$G9*CN$20*CQ9,0)</f>
        <v>134238.57268837464</v>
      </c>
      <c r="CS9" s="65">
        <f>IF((CL$20-CR$20)&gt;0,CR9,CL$20*CR9/CR$20)</f>
        <v>0</v>
      </c>
      <c r="CT9" s="58" t="s">
        <v>17</v>
      </c>
      <c r="CU9" s="59" t="s">
        <v>17</v>
      </c>
      <c r="CV9" s="62">
        <f t="shared" ref="CV9:CV20" si="32">($H9+$J9+$Q9+$Y9+$AG9+$AO9+$AW9+$BE9+$BM9+$BU9+$CC9+$CK9+$CS9)/$G9</f>
        <v>3580.8377362855267</v>
      </c>
      <c r="CW9" s="176">
        <f>CV9/CV$20</f>
        <v>1.4298587313064233</v>
      </c>
      <c r="CX9" s="167">
        <f>CW9/$I9</f>
        <v>0.28761526204439547</v>
      </c>
      <c r="CY9" s="63">
        <f t="shared" ref="CY9:CY19" si="33">CU$20-CX9</f>
        <v>9.1942701686367423E-2</v>
      </c>
      <c r="CZ9" s="64">
        <f>IF(CY9&gt;0,$G9*CV$20*CY9,0)</f>
        <v>134238.57268837464</v>
      </c>
      <c r="DA9" s="65">
        <f>IF((CT$20-CZ$20)&gt;0,CZ9,CT$20*CZ9/CZ$20)</f>
        <v>0</v>
      </c>
      <c r="DB9" s="66" t="s">
        <v>17</v>
      </c>
      <c r="DC9" s="59" t="s">
        <v>17</v>
      </c>
      <c r="DD9" s="62">
        <f t="shared" ref="DD9:DD20" si="34">($H9+$J9+$Q9+$Y9+$AG9+$AO9+$AW9+$BE9+$BM9+$BU9+$CC9+$CK9+$CS9+$DA9)/$G9</f>
        <v>3580.8377362855267</v>
      </c>
      <c r="DE9" s="176">
        <f>DD9/DD$20</f>
        <v>1.4298587313064233</v>
      </c>
      <c r="DF9" s="167">
        <f>DE9/$I9</f>
        <v>0.28761526204439547</v>
      </c>
      <c r="DG9" s="63">
        <f t="shared" ref="DG9:DG19" si="35">DC$20-DF9</f>
        <v>9.1942701686367423E-2</v>
      </c>
      <c r="DH9" s="64">
        <f>IF(DG9&gt;0,$G9*DD$20*DG9,0)</f>
        <v>134238.57268837464</v>
      </c>
      <c r="DI9" s="65">
        <f>IF((DB$20-DH$20)&gt;0,DH9,DB$20*DH9/DH$20)</f>
        <v>0</v>
      </c>
      <c r="DJ9" s="58" t="s">
        <v>17</v>
      </c>
      <c r="DK9" s="59" t="s">
        <v>17</v>
      </c>
      <c r="DL9" s="62">
        <f t="shared" ref="DL9:DL20" si="36">($H9+$J9+$Q9+$Y9+$AG9+$AO9+$AW9+$BE9+$BM9+$BU9+$CC9+$CK9+$CS9+$DA9+$DI9)/$G9</f>
        <v>3580.8377362855267</v>
      </c>
      <c r="DM9" s="176">
        <f>DL9/DL$20</f>
        <v>1.4298587313064233</v>
      </c>
      <c r="DN9" s="167">
        <f>DM9/$I9</f>
        <v>0.28761526204439547</v>
      </c>
      <c r="DO9" s="63">
        <f t="shared" ref="DO9:DO19" si="37">DK$20-DN9</f>
        <v>9.1942701686367423E-2</v>
      </c>
      <c r="DP9" s="64">
        <f>IF(DO9&gt;0,$G9*DL$20*DO9,0)</f>
        <v>134238.57268837464</v>
      </c>
      <c r="DQ9" s="65">
        <f>IF((DJ$20-DP$20)&gt;0,DP9,DJ$20*DP9/DP$20)</f>
        <v>0</v>
      </c>
      <c r="DR9" s="66" t="s">
        <v>17</v>
      </c>
      <c r="DS9" s="59" t="s">
        <v>17</v>
      </c>
      <c r="DT9" s="62">
        <f t="shared" ref="DT9:DT20" si="38">($H9+$J9+$Q9+$Y9+$AG9+$AO9+$AW9+$BE9+$BM9+$BU9+$CC9+$CK9+$CS9+$DA9+$DI9+$DQ9)/$G9</f>
        <v>3580.8377362855267</v>
      </c>
      <c r="DU9" s="176">
        <f>DT9/DT$20</f>
        <v>1.4298587313064233</v>
      </c>
      <c r="DV9" s="167">
        <f>DU9/$I9</f>
        <v>0.28761526204439547</v>
      </c>
      <c r="DW9" s="63">
        <f t="shared" ref="DW9:DW19" si="39">DS$20-DV9</f>
        <v>9.1942701686367423E-2</v>
      </c>
      <c r="DX9" s="64">
        <f>IF(DW9&gt;0,$G9*DT$20*DW9,0)</f>
        <v>134238.57268837464</v>
      </c>
      <c r="DY9" s="65">
        <f>IF((DR$20-DX$20)&gt;0,DX9,DR$20*DX9/DX$20)</f>
        <v>0</v>
      </c>
      <c r="DZ9" s="58" t="s">
        <v>17</v>
      </c>
      <c r="EA9" s="59" t="s">
        <v>17</v>
      </c>
      <c r="EB9" s="62">
        <f t="shared" ref="EB9:EB20" si="40">($H9+$J9+$Q9+$Y9+$AG9+$AO9+$AW9+$BE9+$BM9+$BU9+$CC9+$CK9+$CS9+$DA9+$DI9+$DQ9+$DY9)/$G9</f>
        <v>3580.8377362855267</v>
      </c>
      <c r="EC9" s="176">
        <f>EB9/EB$20</f>
        <v>1.4298587313064233</v>
      </c>
      <c r="ED9" s="167">
        <f>EC9/$I9</f>
        <v>0.28761526204439547</v>
      </c>
      <c r="EE9" s="63">
        <f t="shared" ref="EE9:EE19" si="41">EA$20-ED9</f>
        <v>9.1942701686367423E-2</v>
      </c>
      <c r="EF9" s="64">
        <f>IF(EE9&gt;0,$G9*EB$20*EE9,0)</f>
        <v>134238.57268837464</v>
      </c>
      <c r="EG9" s="65">
        <f>IF((DZ$20-EF$20)&gt;0,EF9,DZ$20*EF9/EF$20)</f>
        <v>0</v>
      </c>
      <c r="EH9" s="66" t="s">
        <v>17</v>
      </c>
      <c r="EI9" s="59" t="s">
        <v>17</v>
      </c>
      <c r="EJ9" s="62">
        <f t="shared" ref="EJ9:EJ20" si="42">($H9+$J9+$Q9+$Y9+$AG9+$AO9+$AW9+$BE9+$BM9+$BU9+$CC9+$CK9+$CS9+$DA9+$DI9+$DQ9+$DY9+$EG9)/$G9</f>
        <v>3580.8377362855267</v>
      </c>
      <c r="EK9" s="176">
        <f>EJ9/EJ$20</f>
        <v>1.4298587313064233</v>
      </c>
      <c r="EL9" s="167">
        <f>EK9/$I9</f>
        <v>0.28761526204439547</v>
      </c>
      <c r="EM9" s="63">
        <f t="shared" ref="EM9:EM19" si="43">EI$20-EL9</f>
        <v>9.1942701686367423E-2</v>
      </c>
      <c r="EN9" s="64">
        <f>IF(EM9&gt;0,$G9*EJ$20*EM9,0)</f>
        <v>134238.57268837464</v>
      </c>
      <c r="EO9" s="65">
        <f>IF((EH$20-EN$20)&gt;0,EN9,EH$20*EN9/EN$20)</f>
        <v>0</v>
      </c>
      <c r="EP9" s="58" t="s">
        <v>17</v>
      </c>
      <c r="EQ9" s="59" t="s">
        <v>17</v>
      </c>
      <c r="ER9" s="62">
        <f t="shared" ref="ER9:ER20" si="44">($H9+$J9+$Q9+$Y9+$AG9+$AO9+$AW9+$BE9+$BM9+$BU9+$CC9+$CK9+$CS9+$DA9+$DI9+$DQ9+$DY9+$EG9+$EO9)/$G9</f>
        <v>3580.8377362855267</v>
      </c>
      <c r="ES9" s="176">
        <f>ER9/ER$20</f>
        <v>1.4298587313064233</v>
      </c>
      <c r="ET9" s="167">
        <f>ES9/$I9</f>
        <v>0.28761526204439547</v>
      </c>
      <c r="EU9" s="63">
        <f t="shared" ref="EU9:EU19" si="45">EQ$20-ET9</f>
        <v>9.1942701686367423E-2</v>
      </c>
      <c r="EV9" s="64">
        <f>IF(EU9&gt;0,$G9*ER$20*EU9,0)</f>
        <v>134238.57268837464</v>
      </c>
      <c r="EW9" s="65">
        <f>IF((EP$20-EV$20)&gt;0,EV9,EP$20*EV9/EV$20)</f>
        <v>0</v>
      </c>
      <c r="EX9" s="66" t="s">
        <v>17</v>
      </c>
      <c r="EY9" s="59" t="s">
        <v>17</v>
      </c>
      <c r="EZ9" s="62">
        <f t="shared" ref="EZ9:EZ20" si="46">($H9+$J9+$Q9+$Y9+$AG9+$AO9+$AW9+$BE9+$BM9+$BU9+$CC9+$CK9+$CS9+$DA9+$DI9+$DQ9+$DY9+$EG9+$EO9+$EW9)/$G9</f>
        <v>3580.8377362855267</v>
      </c>
      <c r="FA9" s="176">
        <f>EZ9/EZ$20</f>
        <v>1.4298587313064233</v>
      </c>
      <c r="FB9" s="167">
        <f>FA9/$I9</f>
        <v>0.28761526204439547</v>
      </c>
      <c r="FC9" s="63">
        <f t="shared" ref="FC9:FC19" si="47">EY$20-FB9</f>
        <v>9.1942701686367423E-2</v>
      </c>
      <c r="FD9" s="64">
        <f>IF(FC9&gt;0,$G9*EZ$20*FC9,0)</f>
        <v>134238.57268837464</v>
      </c>
      <c r="FE9" s="65">
        <f>IF((EX$20-FD$20)&gt;0,FD9,EX$20*FD9/FD$20)</f>
        <v>0</v>
      </c>
      <c r="FF9" s="58" t="s">
        <v>17</v>
      </c>
      <c r="FG9" s="59" t="s">
        <v>17</v>
      </c>
      <c r="FH9" s="62">
        <f t="shared" ref="FH9:FH20" si="48">($H9+$J9+$Q9+$Y9+$AG9+$AO9+$AW9+$BE9+$BM9+$BU9+$CC9+$CK9+$CS9+$DA9+$DI9+$DQ9+$DY9+$EG9+$EO9+$EW9+FE9)/$G9</f>
        <v>3580.8377362855267</v>
      </c>
      <c r="FI9" s="176">
        <f>FH9/FH$20</f>
        <v>1.4298587313064233</v>
      </c>
      <c r="FJ9" s="167">
        <f>FI9/$I9</f>
        <v>0.28761526204439547</v>
      </c>
      <c r="FK9" s="63">
        <f t="shared" ref="FK9:FK19" si="49">FG$20-FJ9</f>
        <v>9.1942701686367423E-2</v>
      </c>
      <c r="FL9" s="64">
        <f>IF(FK9&gt;0,$G9*FH$20*FK9,0)</f>
        <v>134238.57268837464</v>
      </c>
      <c r="FM9" s="65">
        <f>IF((FF$20-FL$20)&gt;0,FL9,FF$20*FL9/FL$20)</f>
        <v>0</v>
      </c>
      <c r="FN9" s="77">
        <f>$Q9+$Y9+$AG9+$AO9+$AW9+$BE9+$BM9+$BU9+$CC9+$CK9+$CS9+$DA9+$DI9+$DQ9+$DY9+$EG9+$EO9+$EW9+$FE9+FM9</f>
        <v>1020617.0457592091</v>
      </c>
      <c r="FO9" s="141">
        <f t="shared" ref="FO9:FO20" si="50">J9+FN9</f>
        <v>1203928.4002544624</v>
      </c>
      <c r="FP9" s="137" t="s">
        <v>17</v>
      </c>
      <c r="FQ9" s="67">
        <f>'Исходные данные'!I11</f>
        <v>0</v>
      </c>
      <c r="FR9" s="68">
        <f>FO9-FQ9</f>
        <v>1203928.4002544624</v>
      </c>
      <c r="FS9" s="68">
        <f>IF(FR9&gt;0, FR9, 0)</f>
        <v>1203928.4002544624</v>
      </c>
      <c r="FT9" s="68">
        <f t="shared" ref="FT9" si="51">IF(FR9&gt;0, FR9/$FS$20*$FR$20, 0)</f>
        <v>1203928.4002544624</v>
      </c>
      <c r="FU9" s="145">
        <v>1203928</v>
      </c>
    </row>
    <row r="10" spans="1:268" ht="22.5" customHeight="1" x14ac:dyDescent="0.2">
      <c r="A10" s="209" t="s">
        <v>133</v>
      </c>
      <c r="B10" s="50" t="s">
        <v>17</v>
      </c>
      <c r="C10" s="29" t="s">
        <v>17</v>
      </c>
      <c r="D10" s="29" t="s">
        <v>17</v>
      </c>
      <c r="E10" s="29" t="s">
        <v>17</v>
      </c>
      <c r="F10" s="51" t="s">
        <v>17</v>
      </c>
      <c r="G10" s="57">
        <f>'Исходные данные'!C12</f>
        <v>641</v>
      </c>
      <c r="H10" s="194">
        <f>'Исходные данные'!D12</f>
        <v>659900</v>
      </c>
      <c r="I10" s="198">
        <f>'Расчет поправочного коэф'!G11</f>
        <v>4.1928571428571431</v>
      </c>
      <c r="J10" s="190">
        <f t="shared" si="9"/>
        <v>201548.16163200233</v>
      </c>
      <c r="K10" s="187">
        <f t="shared" si="10"/>
        <v>1343.9128886614701</v>
      </c>
      <c r="L10" s="173">
        <f t="shared" ref="L10:L19" si="52">K10/K$20</f>
        <v>0.83502926840258718</v>
      </c>
      <c r="M10" s="211">
        <f t="shared" ref="M10:M19" si="53">L10/$I10</f>
        <v>0.19915519178255911</v>
      </c>
      <c r="N10" s="29" t="s">
        <v>17</v>
      </c>
      <c r="O10" s="31">
        <f t="shared" ref="O10:O19" si="54">$N$20-M10</f>
        <v>0.15089233494771223</v>
      </c>
      <c r="P10" s="32">
        <f t="shared" si="11"/>
        <v>155666.30951000124</v>
      </c>
      <c r="Q10" s="55">
        <f t="shared" ref="Q10:Q19" si="55">IF(($F$20-P$20)&gt;0,P10,$F$20*P10/P$20)</f>
        <v>155666.30951000124</v>
      </c>
      <c r="R10" s="50" t="s">
        <v>17</v>
      </c>
      <c r="S10" s="29" t="s">
        <v>17</v>
      </c>
      <c r="T10" s="30">
        <f t="shared" si="12"/>
        <v>1586.7620454633441</v>
      </c>
      <c r="U10" s="177">
        <f t="shared" ref="U10:U19" si="56">T10/T$20</f>
        <v>0.92567383339832077</v>
      </c>
      <c r="V10" s="168">
        <f t="shared" ref="V10:V19" si="57">U10/$I10</f>
        <v>0.22077399774406287</v>
      </c>
      <c r="W10" s="31">
        <f t="shared" si="13"/>
        <v>0.13429959367856548</v>
      </c>
      <c r="X10" s="32">
        <f t="shared" ref="X10:X19" si="58">IF(W10&gt;0,$G10*T$20*W10,0)</f>
        <v>147566.08134582697</v>
      </c>
      <c r="Y10" s="55">
        <f t="shared" ref="Y10:Y19" si="59">IF((R$20-X$20)&gt;0,X10,R$20*X10/X$20)</f>
        <v>147566.08134582697</v>
      </c>
      <c r="Z10" s="33" t="s">
        <v>17</v>
      </c>
      <c r="AA10" s="29" t="s">
        <v>17</v>
      </c>
      <c r="AB10" s="30">
        <f t="shared" si="14"/>
        <v>1816.9743408546499</v>
      </c>
      <c r="AC10" s="177">
        <f t="shared" ref="AC10:AC19" si="60">AB10/AB$20</f>
        <v>0.99817194448475088</v>
      </c>
      <c r="AD10" s="168">
        <f t="shared" ref="AD10:AD19" si="61">AC10/$I10</f>
        <v>0.23806485899125232</v>
      </c>
      <c r="AE10" s="31">
        <f t="shared" si="15"/>
        <v>0.12152113175242993</v>
      </c>
      <c r="AF10" s="32">
        <f t="shared" ref="AF10:AF19" si="62">IF(AE10&gt;0,$G10*AB$20*AE10,0)</f>
        <v>141792.50343629424</v>
      </c>
      <c r="AG10" s="55">
        <f t="shared" ref="AG10:AG19" si="63">IF((Z$20-AF$20)&gt;0,AF10,Z$20*AF10/AF$20)</f>
        <v>141792.50343629424</v>
      </c>
      <c r="AH10" s="50" t="s">
        <v>17</v>
      </c>
      <c r="AI10" s="29" t="s">
        <v>17</v>
      </c>
      <c r="AJ10" s="30">
        <f t="shared" si="16"/>
        <v>2038.1794944214116</v>
      </c>
      <c r="AK10" s="177">
        <f t="shared" ref="AK10:AK19" si="64">AJ10/AJ$20</f>
        <v>1.0573440813253914</v>
      </c>
      <c r="AL10" s="168">
        <f t="shared" ref="AL10:AL19" si="65">AK10/$I10</f>
        <v>0.25217746402990593</v>
      </c>
      <c r="AM10" s="31">
        <f t="shared" si="17"/>
        <v>0.11147308939274631</v>
      </c>
      <c r="AN10" s="32">
        <f t="shared" ref="AN10:AN19" si="66">IF(AM10&gt;0,$G10*AJ$20*AM10,0)</f>
        <v>137738.12169987988</v>
      </c>
      <c r="AO10" s="55">
        <f t="shared" ref="AO10:AO19" si="67">IF((AH$20-AN$20)&gt;0,AN10,AH$20*AN10/AN$20)</f>
        <v>137738.12169987988</v>
      </c>
      <c r="AP10" s="50" t="s">
        <v>17</v>
      </c>
      <c r="AQ10" s="29" t="s">
        <v>17</v>
      </c>
      <c r="AR10" s="30">
        <f t="shared" si="18"/>
        <v>2253.0595594758265</v>
      </c>
      <c r="AS10" s="177">
        <f t="shared" ref="AS10:AS19" si="68">AR10/AR$20</f>
        <v>1.1065727805151484</v>
      </c>
      <c r="AT10" s="168">
        <f t="shared" ref="AT10:AT19" si="69">AS10/$I10</f>
        <v>0.26391855071911546</v>
      </c>
      <c r="AU10" s="31">
        <f t="shared" si="19"/>
        <v>0.10340672221985253</v>
      </c>
      <c r="AV10" s="32">
        <f t="shared" ref="AV10:AV19" si="70">IF(AU10&gt;0,$G10*AR$20*AU10,0)</f>
        <v>134958.26637073798</v>
      </c>
      <c r="AW10" s="55">
        <f t="shared" ref="AW10:AW19" si="71">IF((AP$20-AV$20)&gt;0,AV10,AP$20*AV10/AV$20)</f>
        <v>134958.26637073798</v>
      </c>
      <c r="AX10" s="50" t="s">
        <v>17</v>
      </c>
      <c r="AY10" s="29" t="s">
        <v>17</v>
      </c>
      <c r="AZ10" s="30">
        <f t="shared" si="20"/>
        <v>2463.6028767468683</v>
      </c>
      <c r="BA10" s="177">
        <f t="shared" ref="BA10:BA19" si="72">AZ10/AZ$20</f>
        <v>1.1482573073672742</v>
      </c>
      <c r="BB10" s="168">
        <f t="shared" ref="BB10:BB19" si="73">BA10/$I10</f>
        <v>0.27386034587975872</v>
      </c>
      <c r="BC10" s="31">
        <f t="shared" si="21"/>
        <v>9.6799954749576034E-2</v>
      </c>
      <c r="BD10" s="32">
        <f t="shared" ref="BD10:BD19" si="74">IF(BC10&gt;0,$G10*AZ$20*BC10,0)</f>
        <v>133126.54728154087</v>
      </c>
      <c r="BE10" s="55">
        <f t="shared" ref="BE10:BE19" si="75">IF((AX$20-BD$20)&gt;0,BD10,AX$20*BD10/BD$20)</f>
        <v>133126.54728154087</v>
      </c>
      <c r="BF10" s="50" t="s">
        <v>17</v>
      </c>
      <c r="BG10" s="29" t="s">
        <v>17</v>
      </c>
      <c r="BH10" s="30">
        <f t="shared" si="22"/>
        <v>2671.2885979349198</v>
      </c>
      <c r="BI10" s="177">
        <f t="shared" ref="BI10:BI19" si="76">BH10/BH$20</f>
        <v>1.1841196599371695</v>
      </c>
      <c r="BJ10" s="168">
        <f t="shared" ref="BJ10:BJ19" si="77">BI10/$I10</f>
        <v>0.28241354751482745</v>
      </c>
      <c r="BK10" s="31">
        <f t="shared" si="23"/>
        <v>9.1285051616407265E-2</v>
      </c>
      <c r="BL10" s="32">
        <f t="shared" ref="BL10:BL19" si="78">IF(BK10&gt;0,$G10*BH$20*BK10,0)</f>
        <v>132002.73015863667</v>
      </c>
      <c r="BM10" s="55">
        <f t="shared" ref="BM10:BM19" si="79">IF((BF$20-BL$20)&gt;0,BL10,BF$20*BL10/BL$20)</f>
        <v>132002.73015863667</v>
      </c>
      <c r="BN10" s="50" t="s">
        <v>17</v>
      </c>
      <c r="BO10" s="29" t="s">
        <v>17</v>
      </c>
      <c r="BP10" s="30">
        <f t="shared" si="24"/>
        <v>2877.2210942822467</v>
      </c>
      <c r="BQ10" s="177">
        <f t="shared" ref="BQ10:BQ19" si="80">BP10/BP$20</f>
        <v>1.2154113626587522</v>
      </c>
      <c r="BR10" s="168">
        <f t="shared" ref="BR10:BR19" si="81">BQ10/$I10</f>
        <v>0.28987664526784546</v>
      </c>
      <c r="BS10" s="31">
        <f t="shared" si="25"/>
        <v>8.6600178274619521E-2</v>
      </c>
      <c r="BT10" s="32">
        <f t="shared" ref="BT10:BT19" si="82">IF(BS10&gt;0,$G10*BP$20*BS10,0)</f>
        <v>131409.49885356645</v>
      </c>
      <c r="BU10" s="55">
        <f t="shared" ref="BU10:BU19" si="83">IF((BN$20-BT$20)&gt;0,BT10,BN$20*BT10/BT$20)</f>
        <v>131409.49885356645</v>
      </c>
      <c r="BV10" s="33" t="s">
        <v>17</v>
      </c>
      <c r="BW10" s="29" t="s">
        <v>17</v>
      </c>
      <c r="BX10" s="30">
        <f t="shared" si="26"/>
        <v>3082.22811277455</v>
      </c>
      <c r="BY10" s="177">
        <f t="shared" ref="BY10:BY19" si="84">BX10/BX$20</f>
        <v>1.2430540570317523</v>
      </c>
      <c r="BZ10" s="168">
        <f t="shared" ref="BZ10:BZ19" si="85">BY10/$I10</f>
        <v>0.2964694514215423</v>
      </c>
      <c r="CA10" s="31">
        <f t="shared" si="27"/>
        <v>8.2556771797468453E-2</v>
      </c>
      <c r="CB10" s="32">
        <f t="shared" ref="CB10:CB19" si="86">IF(CA10&gt;0,$G10*BX$20*CA10,0)</f>
        <v>131215.60704304327</v>
      </c>
      <c r="CC10" s="55">
        <f t="shared" ref="CC10:CC19" si="87">IF((BV$20-CB$20)&gt;0,CB10,BV$20*CB10/CB$20)</f>
        <v>28711.46486618687</v>
      </c>
      <c r="CD10" s="50" t="s">
        <v>17</v>
      </c>
      <c r="CE10" s="29" t="s">
        <v>17</v>
      </c>
      <c r="CF10" s="30">
        <f t="shared" si="28"/>
        <v>3127.0197896328759</v>
      </c>
      <c r="CG10" s="177">
        <f t="shared" ref="CG10:CG19" si="88">CF10/CF$20</f>
        <v>1.2486453948657843</v>
      </c>
      <c r="CH10" s="168">
        <f t="shared" ref="CH10:CH19" si="89">CG10/$I10</f>
        <v>0.2978029902575976</v>
      </c>
      <c r="CI10" s="31">
        <f t="shared" si="29"/>
        <v>8.1754973473165293E-2</v>
      </c>
      <c r="CJ10" s="32">
        <f t="shared" ref="CJ10:CJ19" si="90">IF(CI10&gt;0,$G10*CF$20*CI10,0)</f>
        <v>131239.24443458585</v>
      </c>
      <c r="CK10" s="55">
        <f t="shared" ref="CK10:CK19" si="91">IF((CD$20-CJ$20)&gt;0,CJ10,CD$20*CJ10/CJ$20)</f>
        <v>0</v>
      </c>
      <c r="CL10" s="33" t="s">
        <v>17</v>
      </c>
      <c r="CM10" s="29" t="s">
        <v>17</v>
      </c>
      <c r="CN10" s="30">
        <f t="shared" si="30"/>
        <v>3127.0197896328759</v>
      </c>
      <c r="CO10" s="177">
        <f t="shared" ref="CO10:CO19" si="92">CN10/CN$20</f>
        <v>1.2486453948657843</v>
      </c>
      <c r="CP10" s="168">
        <f t="shared" ref="CP10:CP19" si="93">CO10/$I10</f>
        <v>0.2978029902575976</v>
      </c>
      <c r="CQ10" s="31">
        <f t="shared" si="31"/>
        <v>8.1754973473165293E-2</v>
      </c>
      <c r="CR10" s="32">
        <f t="shared" ref="CR10:CR19" si="94">IF(CQ10&gt;0,$G10*CN$20*CQ10,0)</f>
        <v>131239.24443458585</v>
      </c>
      <c r="CS10" s="55">
        <f t="shared" ref="CS10:CS19" si="95">IF((CL$20-CR$20)&gt;0,CR10,CL$20*CR10/CR$20)</f>
        <v>0</v>
      </c>
      <c r="CT10" s="50" t="s">
        <v>17</v>
      </c>
      <c r="CU10" s="29" t="s">
        <v>17</v>
      </c>
      <c r="CV10" s="30">
        <f t="shared" si="32"/>
        <v>3127.0197896328759</v>
      </c>
      <c r="CW10" s="177">
        <f t="shared" ref="CW10:CW19" si="96">CV10/CV$20</f>
        <v>1.2486453948657843</v>
      </c>
      <c r="CX10" s="168">
        <f t="shared" ref="CX10:CX19" si="97">CW10/$I10</f>
        <v>0.2978029902575976</v>
      </c>
      <c r="CY10" s="31">
        <f t="shared" si="33"/>
        <v>8.1754973473165293E-2</v>
      </c>
      <c r="CZ10" s="32">
        <f t="shared" ref="CZ10:CZ19" si="98">IF(CY10&gt;0,$G10*CV$20*CY10,0)</f>
        <v>131239.24443458585</v>
      </c>
      <c r="DA10" s="55">
        <f t="shared" ref="DA10:DA19" si="99">IF((CT$20-CZ$20)&gt;0,CZ10,CT$20*CZ10/CZ$20)</f>
        <v>0</v>
      </c>
      <c r="DB10" s="33" t="s">
        <v>17</v>
      </c>
      <c r="DC10" s="29" t="s">
        <v>17</v>
      </c>
      <c r="DD10" s="30">
        <f t="shared" si="34"/>
        <v>3127.0197896328759</v>
      </c>
      <c r="DE10" s="177">
        <f t="shared" ref="DE10:DE19" si="100">DD10/DD$20</f>
        <v>1.2486453948657843</v>
      </c>
      <c r="DF10" s="168">
        <f t="shared" ref="DF10:DF19" si="101">DE10/$I10</f>
        <v>0.2978029902575976</v>
      </c>
      <c r="DG10" s="31">
        <f t="shared" si="35"/>
        <v>8.1754973473165293E-2</v>
      </c>
      <c r="DH10" s="32">
        <f t="shared" ref="DH10:DH19" si="102">IF(DG10&gt;0,$G10*DD$20*DG10,0)</f>
        <v>131239.24443458585</v>
      </c>
      <c r="DI10" s="55">
        <f t="shared" ref="DI10:DI19" si="103">IF((DB$20-DH$20)&gt;0,DH10,DB$20*DH10/DH$20)</f>
        <v>0</v>
      </c>
      <c r="DJ10" s="50" t="s">
        <v>17</v>
      </c>
      <c r="DK10" s="29" t="s">
        <v>17</v>
      </c>
      <c r="DL10" s="30">
        <f t="shared" si="36"/>
        <v>3127.0197896328759</v>
      </c>
      <c r="DM10" s="177">
        <f t="shared" ref="DM10:DM19" si="104">DL10/DL$20</f>
        <v>1.2486453948657843</v>
      </c>
      <c r="DN10" s="168">
        <f t="shared" ref="DN10:DN19" si="105">DM10/$I10</f>
        <v>0.2978029902575976</v>
      </c>
      <c r="DO10" s="31">
        <f t="shared" si="37"/>
        <v>8.1754973473165293E-2</v>
      </c>
      <c r="DP10" s="32">
        <f t="shared" ref="DP10:DP19" si="106">IF(DO10&gt;0,$G10*DL$20*DO10,0)</f>
        <v>131239.24443458585</v>
      </c>
      <c r="DQ10" s="55">
        <f t="shared" ref="DQ10:DQ19" si="107">IF((DJ$20-DP$20)&gt;0,DP10,DJ$20*DP10/DP$20)</f>
        <v>0</v>
      </c>
      <c r="DR10" s="33" t="s">
        <v>17</v>
      </c>
      <c r="DS10" s="29" t="s">
        <v>17</v>
      </c>
      <c r="DT10" s="30">
        <f t="shared" si="38"/>
        <v>3127.0197896328759</v>
      </c>
      <c r="DU10" s="177">
        <f t="shared" ref="DU10:DU19" si="108">DT10/DT$20</f>
        <v>1.2486453948657843</v>
      </c>
      <c r="DV10" s="168">
        <f t="shared" ref="DV10:DV19" si="109">DU10/$I10</f>
        <v>0.2978029902575976</v>
      </c>
      <c r="DW10" s="31">
        <f t="shared" si="39"/>
        <v>8.1754973473165293E-2</v>
      </c>
      <c r="DX10" s="32">
        <f t="shared" ref="DX10:DX19" si="110">IF(DW10&gt;0,$G10*DT$20*DW10,0)</f>
        <v>131239.24443458585</v>
      </c>
      <c r="DY10" s="55">
        <f t="shared" ref="DY10:DY19" si="111">IF((DR$20-DX$20)&gt;0,DX10,DR$20*DX10/DX$20)</f>
        <v>0</v>
      </c>
      <c r="DZ10" s="50" t="s">
        <v>17</v>
      </c>
      <c r="EA10" s="29" t="s">
        <v>17</v>
      </c>
      <c r="EB10" s="30">
        <f t="shared" si="40"/>
        <v>3127.0197896328759</v>
      </c>
      <c r="EC10" s="177">
        <f t="shared" ref="EC10:EC19" si="112">EB10/EB$20</f>
        <v>1.2486453948657843</v>
      </c>
      <c r="ED10" s="168">
        <f t="shared" ref="ED10:ED19" si="113">EC10/$I10</f>
        <v>0.2978029902575976</v>
      </c>
      <c r="EE10" s="31">
        <f t="shared" si="41"/>
        <v>8.1754973473165293E-2</v>
      </c>
      <c r="EF10" s="32">
        <f t="shared" ref="EF10:EF19" si="114">IF(EE10&gt;0,$G10*EB$20*EE10,0)</f>
        <v>131239.24443458585</v>
      </c>
      <c r="EG10" s="55">
        <f t="shared" ref="EG10:EG19" si="115">IF((DZ$20-EF$20)&gt;0,EF10,DZ$20*EF10/EF$20)</f>
        <v>0</v>
      </c>
      <c r="EH10" s="33" t="s">
        <v>17</v>
      </c>
      <c r="EI10" s="29" t="s">
        <v>17</v>
      </c>
      <c r="EJ10" s="30">
        <f t="shared" si="42"/>
        <v>3127.0197896328759</v>
      </c>
      <c r="EK10" s="177">
        <f t="shared" ref="EK10:EK19" si="116">EJ10/EJ$20</f>
        <v>1.2486453948657843</v>
      </c>
      <c r="EL10" s="168">
        <f t="shared" ref="EL10:EL19" si="117">EK10/$I10</f>
        <v>0.2978029902575976</v>
      </c>
      <c r="EM10" s="31">
        <f t="shared" si="43"/>
        <v>8.1754973473165293E-2</v>
      </c>
      <c r="EN10" s="32">
        <f t="shared" ref="EN10:EN19" si="118">IF(EM10&gt;0,$G10*EJ$20*EM10,0)</f>
        <v>131239.24443458585</v>
      </c>
      <c r="EO10" s="55">
        <f t="shared" ref="EO10:EO19" si="119">IF((EH$20-EN$20)&gt;0,EN10,EH$20*EN10/EN$20)</f>
        <v>0</v>
      </c>
      <c r="EP10" s="50" t="s">
        <v>17</v>
      </c>
      <c r="EQ10" s="29" t="s">
        <v>17</v>
      </c>
      <c r="ER10" s="30">
        <f t="shared" si="44"/>
        <v>3127.0197896328759</v>
      </c>
      <c r="ES10" s="177">
        <f t="shared" ref="ES10:ES19" si="120">ER10/ER$20</f>
        <v>1.2486453948657843</v>
      </c>
      <c r="ET10" s="168">
        <f t="shared" ref="ET10:ET19" si="121">ES10/$I10</f>
        <v>0.2978029902575976</v>
      </c>
      <c r="EU10" s="31">
        <f t="shared" si="45"/>
        <v>8.1754973473165293E-2</v>
      </c>
      <c r="EV10" s="32">
        <f t="shared" ref="EV10:EV19" si="122">IF(EU10&gt;0,$G10*ER$20*EU10,0)</f>
        <v>131239.24443458585</v>
      </c>
      <c r="EW10" s="55">
        <f t="shared" ref="EW10:EW19" si="123">IF((EP$20-EV$20)&gt;0,EV10,EP$20*EV10/EV$20)</f>
        <v>0</v>
      </c>
      <c r="EX10" s="33" t="s">
        <v>17</v>
      </c>
      <c r="EY10" s="29" t="s">
        <v>17</v>
      </c>
      <c r="EZ10" s="30">
        <f t="shared" si="46"/>
        <v>3127.0197896328759</v>
      </c>
      <c r="FA10" s="177">
        <f t="shared" ref="FA10:FA19" si="124">EZ10/EZ$20</f>
        <v>1.2486453948657843</v>
      </c>
      <c r="FB10" s="168">
        <f t="shared" ref="FB10:FB19" si="125">FA10/$I10</f>
        <v>0.2978029902575976</v>
      </c>
      <c r="FC10" s="31">
        <f t="shared" si="47"/>
        <v>8.1754973473165293E-2</v>
      </c>
      <c r="FD10" s="32">
        <f t="shared" ref="FD10:FD19" si="126">IF(FC10&gt;0,$G10*EZ$20*FC10,0)</f>
        <v>131239.24443458585</v>
      </c>
      <c r="FE10" s="55">
        <f t="shared" ref="FE10:FE19" si="127">IF((EX$20-FD$20)&gt;0,FD10,EX$20*FD10/FD$20)</f>
        <v>0</v>
      </c>
      <c r="FF10" s="50" t="s">
        <v>17</v>
      </c>
      <c r="FG10" s="29" t="s">
        <v>17</v>
      </c>
      <c r="FH10" s="30">
        <f t="shared" si="48"/>
        <v>3127.0197896328759</v>
      </c>
      <c r="FI10" s="177">
        <f t="shared" ref="FI10:FI19" si="128">FH10/FH$20</f>
        <v>1.2486453948657843</v>
      </c>
      <c r="FJ10" s="168">
        <f t="shared" ref="FJ10:FJ19" si="129">FI10/$I10</f>
        <v>0.2978029902575976</v>
      </c>
      <c r="FK10" s="31">
        <f t="shared" si="49"/>
        <v>8.1754973473165293E-2</v>
      </c>
      <c r="FL10" s="32">
        <f t="shared" ref="FL10:FL19" si="130">IF(FK10&gt;0,$G10*FH$20*FK10,0)</f>
        <v>131239.24443458585</v>
      </c>
      <c r="FM10" s="55">
        <f t="shared" ref="FM10:FM19" si="131">IF((FF$20-FL$20)&gt;0,FL10,FF$20*FL10/FL$20)</f>
        <v>0</v>
      </c>
      <c r="FN10" s="78">
        <f t="shared" ref="FN10:FN19" si="132">$Q10+$Y10+$AG10+$AO10+$AW10+$BE10+$BM10+$BU10+$CC10+$CK10+$CS10+$DA10+$DI10+$DQ10+$DY10+$EG10+$EO10+$EW10+$FE10+FM10</f>
        <v>1142971.5235226713</v>
      </c>
      <c r="FO10" s="142">
        <f t="shared" si="50"/>
        <v>1344519.6851546736</v>
      </c>
      <c r="FP10" s="138" t="s">
        <v>17</v>
      </c>
      <c r="FQ10" s="42">
        <f>'Исходные данные'!I12</f>
        <v>0</v>
      </c>
      <c r="FR10" s="43">
        <f t="shared" ref="FR10:FR19" si="133">FO10-FQ10</f>
        <v>1344519.6851546736</v>
      </c>
      <c r="FS10" s="43">
        <f t="shared" ref="FS10:FS19" si="134">IF(FR10&gt;0, FR10, 0)</f>
        <v>1344519.6851546736</v>
      </c>
      <c r="FT10" s="43">
        <f>IF(FR10&gt;0, FR10/$FS$20*$FR$20, 0)</f>
        <v>1344519.6851546736</v>
      </c>
      <c r="FU10" s="146">
        <v>1344520</v>
      </c>
    </row>
    <row r="11" spans="1:268" ht="22.5" customHeight="1" x14ac:dyDescent="0.2">
      <c r="A11" s="209" t="s">
        <v>134</v>
      </c>
      <c r="B11" s="50" t="s">
        <v>17</v>
      </c>
      <c r="C11" s="29" t="s">
        <v>17</v>
      </c>
      <c r="D11" s="29" t="s">
        <v>17</v>
      </c>
      <c r="E11" s="29" t="s">
        <v>17</v>
      </c>
      <c r="F11" s="51" t="s">
        <v>17</v>
      </c>
      <c r="G11" s="57">
        <f>'Исходные данные'!C13</f>
        <v>5203</v>
      </c>
      <c r="H11" s="194">
        <f>'Исходные данные'!D13</f>
        <v>7857100</v>
      </c>
      <c r="I11" s="198">
        <f>'Расчет поправочного коэф'!G12</f>
        <v>1.4285714285714286</v>
      </c>
      <c r="J11" s="190">
        <f t="shared" si="9"/>
        <v>1635967.3712500907</v>
      </c>
      <c r="K11" s="187">
        <f t="shared" si="10"/>
        <v>1824.5372614357277</v>
      </c>
      <c r="L11" s="173">
        <f t="shared" si="52"/>
        <v>1.1336612867128428</v>
      </c>
      <c r="M11" s="211">
        <f t="shared" si="53"/>
        <v>0.79356290069898994</v>
      </c>
      <c r="N11" s="29" t="s">
        <v>17</v>
      </c>
      <c r="O11" s="31">
        <f t="shared" si="54"/>
        <v>-0.4435153739687186</v>
      </c>
      <c r="P11" s="32">
        <f t="shared" si="11"/>
        <v>0</v>
      </c>
      <c r="Q11" s="55">
        <f t="shared" si="55"/>
        <v>0</v>
      </c>
      <c r="R11" s="50" t="s">
        <v>17</v>
      </c>
      <c r="S11" s="29" t="s">
        <v>17</v>
      </c>
      <c r="T11" s="30">
        <f t="shared" si="12"/>
        <v>1824.5372614357277</v>
      </c>
      <c r="U11" s="177">
        <f t="shared" si="56"/>
        <v>1.06438542930872</v>
      </c>
      <c r="V11" s="168">
        <f t="shared" si="57"/>
        <v>0.74506980051610405</v>
      </c>
      <c r="W11" s="31">
        <f t="shared" si="13"/>
        <v>-0.38999620909347571</v>
      </c>
      <c r="X11" s="32">
        <f t="shared" si="58"/>
        <v>0</v>
      </c>
      <c r="Y11" s="55">
        <f t="shared" si="59"/>
        <v>0</v>
      </c>
      <c r="Z11" s="33" t="s">
        <v>17</v>
      </c>
      <c r="AA11" s="29" t="s">
        <v>17</v>
      </c>
      <c r="AB11" s="30">
        <f t="shared" si="14"/>
        <v>1824.5372614357277</v>
      </c>
      <c r="AC11" s="177">
        <f t="shared" si="60"/>
        <v>1.0023267060422791</v>
      </c>
      <c r="AD11" s="168">
        <f t="shared" si="61"/>
        <v>0.7016286942295954</v>
      </c>
      <c r="AE11" s="31">
        <f t="shared" si="15"/>
        <v>-0.34204270348591315</v>
      </c>
      <c r="AF11" s="32">
        <f t="shared" si="62"/>
        <v>0</v>
      </c>
      <c r="AG11" s="55">
        <f t="shared" si="63"/>
        <v>0</v>
      </c>
      <c r="AH11" s="50" t="s">
        <v>17</v>
      </c>
      <c r="AI11" s="29" t="s">
        <v>17</v>
      </c>
      <c r="AJ11" s="30">
        <f t="shared" si="16"/>
        <v>1824.5372614357277</v>
      </c>
      <c r="AK11" s="177">
        <f t="shared" si="64"/>
        <v>0.94651314068113823</v>
      </c>
      <c r="AL11" s="168">
        <f t="shared" si="65"/>
        <v>0.66255919847679678</v>
      </c>
      <c r="AM11" s="31">
        <f t="shared" si="17"/>
        <v>-0.29890864505414455</v>
      </c>
      <c r="AN11" s="32">
        <f t="shared" si="66"/>
        <v>0</v>
      </c>
      <c r="AO11" s="55">
        <f t="shared" si="67"/>
        <v>0</v>
      </c>
      <c r="AP11" s="50" t="s">
        <v>17</v>
      </c>
      <c r="AQ11" s="29" t="s">
        <v>17</v>
      </c>
      <c r="AR11" s="30">
        <f t="shared" si="18"/>
        <v>1824.5372614357277</v>
      </c>
      <c r="AS11" s="177">
        <f t="shared" si="68"/>
        <v>0.89610736744577812</v>
      </c>
      <c r="AT11" s="168">
        <f t="shared" si="69"/>
        <v>0.62727515721204463</v>
      </c>
      <c r="AU11" s="31">
        <f t="shared" si="19"/>
        <v>-0.25994988427307664</v>
      </c>
      <c r="AV11" s="32">
        <f t="shared" si="70"/>
        <v>0</v>
      </c>
      <c r="AW11" s="55">
        <f t="shared" si="71"/>
        <v>0</v>
      </c>
      <c r="AX11" s="50" t="s">
        <v>17</v>
      </c>
      <c r="AY11" s="29" t="s">
        <v>17</v>
      </c>
      <c r="AZ11" s="30">
        <f t="shared" si="20"/>
        <v>1824.5372614357277</v>
      </c>
      <c r="BA11" s="177">
        <f t="shared" si="72"/>
        <v>0.85039608566048575</v>
      </c>
      <c r="BB11" s="168">
        <f t="shared" si="73"/>
        <v>0.59527725996234004</v>
      </c>
      <c r="BC11" s="31">
        <f t="shared" si="21"/>
        <v>-0.22461695933300529</v>
      </c>
      <c r="BD11" s="32">
        <f t="shared" si="74"/>
        <v>0</v>
      </c>
      <c r="BE11" s="55">
        <f t="shared" si="75"/>
        <v>0</v>
      </c>
      <c r="BF11" s="50" t="s">
        <v>17</v>
      </c>
      <c r="BG11" s="29" t="s">
        <v>17</v>
      </c>
      <c r="BH11" s="30">
        <f t="shared" si="22"/>
        <v>1824.5372614357277</v>
      </c>
      <c r="BI11" s="177">
        <f t="shared" si="76"/>
        <v>0.80877462780478038</v>
      </c>
      <c r="BJ11" s="168">
        <f t="shared" si="77"/>
        <v>0.5661422394633463</v>
      </c>
      <c r="BK11" s="31">
        <f t="shared" si="23"/>
        <v>-0.19244364033211159</v>
      </c>
      <c r="BL11" s="32">
        <f t="shared" si="78"/>
        <v>0</v>
      </c>
      <c r="BM11" s="55">
        <f t="shared" si="79"/>
        <v>0</v>
      </c>
      <c r="BN11" s="50" t="s">
        <v>17</v>
      </c>
      <c r="BO11" s="29" t="s">
        <v>17</v>
      </c>
      <c r="BP11" s="30">
        <f t="shared" si="24"/>
        <v>1824.5372614357277</v>
      </c>
      <c r="BQ11" s="177">
        <f t="shared" si="80"/>
        <v>0.77073094019438237</v>
      </c>
      <c r="BR11" s="168">
        <f t="shared" si="81"/>
        <v>0.53951165813606761</v>
      </c>
      <c r="BS11" s="31">
        <f t="shared" si="25"/>
        <v>-0.16303483459360263</v>
      </c>
      <c r="BT11" s="32">
        <f t="shared" si="82"/>
        <v>0</v>
      </c>
      <c r="BU11" s="55">
        <f t="shared" si="83"/>
        <v>0</v>
      </c>
      <c r="BV11" s="33" t="s">
        <v>17</v>
      </c>
      <c r="BW11" s="29" t="s">
        <v>17</v>
      </c>
      <c r="BX11" s="30">
        <f t="shared" si="26"/>
        <v>1824.5372614357277</v>
      </c>
      <c r="BY11" s="177">
        <f t="shared" si="84"/>
        <v>0.73583082174657244</v>
      </c>
      <c r="BZ11" s="168">
        <f t="shared" si="85"/>
        <v>0.51508157522260067</v>
      </c>
      <c r="CA11" s="31">
        <f t="shared" si="27"/>
        <v>-0.13605535200358992</v>
      </c>
      <c r="CB11" s="32">
        <f t="shared" si="86"/>
        <v>0</v>
      </c>
      <c r="CC11" s="55">
        <f t="shared" si="87"/>
        <v>0</v>
      </c>
      <c r="CD11" s="50" t="s">
        <v>17</v>
      </c>
      <c r="CE11" s="29" t="s">
        <v>17</v>
      </c>
      <c r="CF11" s="30">
        <f t="shared" si="28"/>
        <v>1824.5372614357277</v>
      </c>
      <c r="CG11" s="177">
        <f t="shared" si="88"/>
        <v>0.72855312806326067</v>
      </c>
      <c r="CH11" s="168">
        <f t="shared" si="89"/>
        <v>0.50998718964428247</v>
      </c>
      <c r="CI11" s="31">
        <f t="shared" si="29"/>
        <v>-0.13042922591351958</v>
      </c>
      <c r="CJ11" s="32">
        <f t="shared" si="90"/>
        <v>0</v>
      </c>
      <c r="CK11" s="55">
        <f t="shared" si="91"/>
        <v>0</v>
      </c>
      <c r="CL11" s="33" t="s">
        <v>17</v>
      </c>
      <c r="CM11" s="29" t="s">
        <v>17</v>
      </c>
      <c r="CN11" s="30">
        <f t="shared" si="30"/>
        <v>1824.5372614357277</v>
      </c>
      <c r="CO11" s="177">
        <f t="shared" si="92"/>
        <v>0.72855312806326067</v>
      </c>
      <c r="CP11" s="168">
        <f t="shared" si="93"/>
        <v>0.50998718964428247</v>
      </c>
      <c r="CQ11" s="31">
        <f t="shared" si="31"/>
        <v>-0.13042922591351958</v>
      </c>
      <c r="CR11" s="32">
        <f t="shared" si="94"/>
        <v>0</v>
      </c>
      <c r="CS11" s="55">
        <f t="shared" si="95"/>
        <v>0</v>
      </c>
      <c r="CT11" s="50" t="s">
        <v>17</v>
      </c>
      <c r="CU11" s="29" t="s">
        <v>17</v>
      </c>
      <c r="CV11" s="30">
        <f t="shared" si="32"/>
        <v>1824.5372614357277</v>
      </c>
      <c r="CW11" s="177">
        <f t="shared" si="96"/>
        <v>0.72855312806326067</v>
      </c>
      <c r="CX11" s="168">
        <f t="shared" si="97"/>
        <v>0.50998718964428247</v>
      </c>
      <c r="CY11" s="31">
        <f t="shared" si="33"/>
        <v>-0.13042922591351958</v>
      </c>
      <c r="CZ11" s="32">
        <f t="shared" si="98"/>
        <v>0</v>
      </c>
      <c r="DA11" s="55">
        <f t="shared" si="99"/>
        <v>0</v>
      </c>
      <c r="DB11" s="33" t="s">
        <v>17</v>
      </c>
      <c r="DC11" s="29" t="s">
        <v>17</v>
      </c>
      <c r="DD11" s="30">
        <f t="shared" si="34"/>
        <v>1824.5372614357277</v>
      </c>
      <c r="DE11" s="177">
        <f t="shared" si="100"/>
        <v>0.72855312806326067</v>
      </c>
      <c r="DF11" s="168">
        <f t="shared" si="101"/>
        <v>0.50998718964428247</v>
      </c>
      <c r="DG11" s="31">
        <f t="shared" si="35"/>
        <v>-0.13042922591351958</v>
      </c>
      <c r="DH11" s="32">
        <f t="shared" si="102"/>
        <v>0</v>
      </c>
      <c r="DI11" s="55">
        <f t="shared" si="103"/>
        <v>0</v>
      </c>
      <c r="DJ11" s="50" t="s">
        <v>17</v>
      </c>
      <c r="DK11" s="29" t="s">
        <v>17</v>
      </c>
      <c r="DL11" s="30">
        <f t="shared" si="36"/>
        <v>1824.5372614357277</v>
      </c>
      <c r="DM11" s="177">
        <f t="shared" si="104"/>
        <v>0.72855312806326067</v>
      </c>
      <c r="DN11" s="168">
        <f t="shared" si="105"/>
        <v>0.50998718964428247</v>
      </c>
      <c r="DO11" s="31">
        <f t="shared" si="37"/>
        <v>-0.13042922591351958</v>
      </c>
      <c r="DP11" s="32">
        <f t="shared" si="106"/>
        <v>0</v>
      </c>
      <c r="DQ11" s="55">
        <f t="shared" si="107"/>
        <v>0</v>
      </c>
      <c r="DR11" s="33" t="s">
        <v>17</v>
      </c>
      <c r="DS11" s="29" t="s">
        <v>17</v>
      </c>
      <c r="DT11" s="30">
        <f t="shared" si="38"/>
        <v>1824.5372614357277</v>
      </c>
      <c r="DU11" s="177">
        <f t="shared" si="108"/>
        <v>0.72855312806326067</v>
      </c>
      <c r="DV11" s="168">
        <f t="shared" si="109"/>
        <v>0.50998718964428247</v>
      </c>
      <c r="DW11" s="31">
        <f t="shared" si="39"/>
        <v>-0.13042922591351958</v>
      </c>
      <c r="DX11" s="32">
        <f t="shared" si="110"/>
        <v>0</v>
      </c>
      <c r="DY11" s="55">
        <f t="shared" si="111"/>
        <v>0</v>
      </c>
      <c r="DZ11" s="50" t="s">
        <v>17</v>
      </c>
      <c r="EA11" s="29" t="s">
        <v>17</v>
      </c>
      <c r="EB11" s="30">
        <f t="shared" si="40"/>
        <v>1824.5372614357277</v>
      </c>
      <c r="EC11" s="177">
        <f t="shared" si="112"/>
        <v>0.72855312806326067</v>
      </c>
      <c r="ED11" s="168">
        <f t="shared" si="113"/>
        <v>0.50998718964428247</v>
      </c>
      <c r="EE11" s="31">
        <f t="shared" si="41"/>
        <v>-0.13042922591351958</v>
      </c>
      <c r="EF11" s="32">
        <f t="shared" si="114"/>
        <v>0</v>
      </c>
      <c r="EG11" s="55">
        <f t="shared" si="115"/>
        <v>0</v>
      </c>
      <c r="EH11" s="33" t="s">
        <v>17</v>
      </c>
      <c r="EI11" s="29" t="s">
        <v>17</v>
      </c>
      <c r="EJ11" s="30">
        <f t="shared" si="42"/>
        <v>1824.5372614357277</v>
      </c>
      <c r="EK11" s="177">
        <f t="shared" si="116"/>
        <v>0.72855312806326067</v>
      </c>
      <c r="EL11" s="168">
        <f t="shared" si="117"/>
        <v>0.50998718964428247</v>
      </c>
      <c r="EM11" s="31">
        <f t="shared" si="43"/>
        <v>-0.13042922591351958</v>
      </c>
      <c r="EN11" s="32">
        <f t="shared" si="118"/>
        <v>0</v>
      </c>
      <c r="EO11" s="55">
        <f t="shared" si="119"/>
        <v>0</v>
      </c>
      <c r="EP11" s="50" t="s">
        <v>17</v>
      </c>
      <c r="EQ11" s="29" t="s">
        <v>17</v>
      </c>
      <c r="ER11" s="30">
        <f t="shared" si="44"/>
        <v>1824.5372614357277</v>
      </c>
      <c r="ES11" s="177">
        <f t="shared" si="120"/>
        <v>0.72855312806326067</v>
      </c>
      <c r="ET11" s="168">
        <f t="shared" si="121"/>
        <v>0.50998718964428247</v>
      </c>
      <c r="EU11" s="31">
        <f t="shared" si="45"/>
        <v>-0.13042922591351958</v>
      </c>
      <c r="EV11" s="32">
        <f t="shared" si="122"/>
        <v>0</v>
      </c>
      <c r="EW11" s="55">
        <f t="shared" si="123"/>
        <v>0</v>
      </c>
      <c r="EX11" s="33" t="s">
        <v>17</v>
      </c>
      <c r="EY11" s="29" t="s">
        <v>17</v>
      </c>
      <c r="EZ11" s="30">
        <f t="shared" si="46"/>
        <v>1824.5372614357277</v>
      </c>
      <c r="FA11" s="177">
        <f t="shared" si="124"/>
        <v>0.72855312806326067</v>
      </c>
      <c r="FB11" s="168">
        <f t="shared" si="125"/>
        <v>0.50998718964428247</v>
      </c>
      <c r="FC11" s="31">
        <f t="shared" si="47"/>
        <v>-0.13042922591351958</v>
      </c>
      <c r="FD11" s="32">
        <f t="shared" si="126"/>
        <v>0</v>
      </c>
      <c r="FE11" s="55">
        <f t="shared" si="127"/>
        <v>0</v>
      </c>
      <c r="FF11" s="50" t="s">
        <v>17</v>
      </c>
      <c r="FG11" s="29" t="s">
        <v>17</v>
      </c>
      <c r="FH11" s="30">
        <f t="shared" si="48"/>
        <v>1824.5372614357277</v>
      </c>
      <c r="FI11" s="177">
        <f t="shared" si="128"/>
        <v>0.72855312806326067</v>
      </c>
      <c r="FJ11" s="168">
        <f t="shared" si="129"/>
        <v>0.50998718964428247</v>
      </c>
      <c r="FK11" s="31">
        <f t="shared" si="49"/>
        <v>-0.13042922591351958</v>
      </c>
      <c r="FL11" s="32">
        <f t="shared" si="130"/>
        <v>0</v>
      </c>
      <c r="FM11" s="55">
        <f t="shared" si="131"/>
        <v>0</v>
      </c>
      <c r="FN11" s="78">
        <f t="shared" si="132"/>
        <v>0</v>
      </c>
      <c r="FO11" s="142">
        <f t="shared" si="50"/>
        <v>1635967.3712500907</v>
      </c>
      <c r="FP11" s="138" t="s">
        <v>17</v>
      </c>
      <c r="FQ11" s="42">
        <f>'Исходные данные'!I13</f>
        <v>0</v>
      </c>
      <c r="FR11" s="43">
        <f t="shared" si="133"/>
        <v>1635967.3712500907</v>
      </c>
      <c r="FS11" s="43">
        <f t="shared" si="134"/>
        <v>1635967.3712500907</v>
      </c>
      <c r="FT11" s="43">
        <f t="shared" ref="FT11:FT19" si="135">IF(FR11&gt;0, FR11/$FS$20*$FR$20, 0)</f>
        <v>1635967.3712500907</v>
      </c>
      <c r="FU11" s="146">
        <v>1635968</v>
      </c>
    </row>
    <row r="12" spans="1:268" ht="22.5" customHeight="1" x14ac:dyDescent="0.2">
      <c r="A12" s="209" t="s">
        <v>135</v>
      </c>
      <c r="B12" s="50" t="s">
        <v>17</v>
      </c>
      <c r="C12" s="29" t="s">
        <v>17</v>
      </c>
      <c r="D12" s="29" t="s">
        <v>17</v>
      </c>
      <c r="E12" s="29" t="s">
        <v>17</v>
      </c>
      <c r="F12" s="51" t="s">
        <v>17</v>
      </c>
      <c r="G12" s="57">
        <f>'Исходные данные'!C14</f>
        <v>656</v>
      </c>
      <c r="H12" s="194">
        <f>'Исходные данные'!D14</f>
        <v>1146800</v>
      </c>
      <c r="I12" s="198">
        <f>'Расчет поправочного коэф'!G13</f>
        <v>5.0571428571428569</v>
      </c>
      <c r="J12" s="190">
        <f t="shared" si="9"/>
        <v>206264.57727081672</v>
      </c>
      <c r="K12" s="187">
        <f t="shared" si="10"/>
        <v>2062.5984409616108</v>
      </c>
      <c r="L12" s="173">
        <f t="shared" si="52"/>
        <v>1.281578651187669</v>
      </c>
      <c r="M12" s="211">
        <f t="shared" si="53"/>
        <v>0.25341950729699669</v>
      </c>
      <c r="N12" s="29" t="s">
        <v>17</v>
      </c>
      <c r="O12" s="31">
        <f t="shared" si="54"/>
        <v>9.6628019433274648E-2</v>
      </c>
      <c r="P12" s="32">
        <f t="shared" si="11"/>
        <v>102017.89031507082</v>
      </c>
      <c r="Q12" s="55">
        <f t="shared" si="55"/>
        <v>102017.89031507082</v>
      </c>
      <c r="R12" s="50" t="s">
        <v>17</v>
      </c>
      <c r="S12" s="29" t="s">
        <v>17</v>
      </c>
      <c r="T12" s="30">
        <f t="shared" si="12"/>
        <v>2218.1135176614139</v>
      </c>
      <c r="U12" s="177">
        <f t="shared" si="56"/>
        <v>1.2939871158858691</v>
      </c>
      <c r="V12" s="168">
        <f t="shared" si="57"/>
        <v>0.25587315850850523</v>
      </c>
      <c r="W12" s="31">
        <f t="shared" si="13"/>
        <v>9.9200432914123116E-2</v>
      </c>
      <c r="X12" s="32">
        <f t="shared" si="58"/>
        <v>111550.42344563956</v>
      </c>
      <c r="Y12" s="55">
        <f t="shared" si="59"/>
        <v>111550.42344563956</v>
      </c>
      <c r="Z12" s="33" t="s">
        <v>17</v>
      </c>
      <c r="AA12" s="29" t="s">
        <v>17</v>
      </c>
      <c r="AB12" s="30">
        <f t="shared" si="14"/>
        <v>2388.1598948651331</v>
      </c>
      <c r="AC12" s="177">
        <f t="shared" si="60"/>
        <v>1.311958101112624</v>
      </c>
      <c r="AD12" s="168">
        <f t="shared" si="61"/>
        <v>0.25942674315786352</v>
      </c>
      <c r="AE12" s="31">
        <f t="shared" si="15"/>
        <v>0.10015924758581873</v>
      </c>
      <c r="AF12" s="32">
        <f t="shared" si="62"/>
        <v>119601.96859628498</v>
      </c>
      <c r="AG12" s="55">
        <f t="shared" si="63"/>
        <v>119601.96859628498</v>
      </c>
      <c r="AH12" s="50" t="s">
        <v>17</v>
      </c>
      <c r="AI12" s="29" t="s">
        <v>17</v>
      </c>
      <c r="AJ12" s="30">
        <f t="shared" si="16"/>
        <v>2570.4799689448355</v>
      </c>
      <c r="AK12" s="177">
        <f t="shared" si="64"/>
        <v>1.3334849991221387</v>
      </c>
      <c r="AL12" s="168">
        <f t="shared" si="65"/>
        <v>0.2636834744026828</v>
      </c>
      <c r="AM12" s="31">
        <f t="shared" si="17"/>
        <v>9.9967079019969429E-2</v>
      </c>
      <c r="AN12" s="32">
        <f t="shared" si="66"/>
        <v>126411.60085761175</v>
      </c>
      <c r="AO12" s="55">
        <f t="shared" si="67"/>
        <v>126411.60085761175</v>
      </c>
      <c r="AP12" s="50" t="s">
        <v>17</v>
      </c>
      <c r="AQ12" s="29" t="s">
        <v>17</v>
      </c>
      <c r="AR12" s="30">
        <f t="shared" si="18"/>
        <v>2763.180580008268</v>
      </c>
      <c r="AS12" s="177">
        <f t="shared" si="68"/>
        <v>1.3571147751622568</v>
      </c>
      <c r="AT12" s="168">
        <f t="shared" si="69"/>
        <v>0.26835602898688693</v>
      </c>
      <c r="AU12" s="31">
        <f t="shared" si="19"/>
        <v>9.8969243952081065E-2</v>
      </c>
      <c r="AV12" s="32">
        <f t="shared" si="70"/>
        <v>132189.44560176169</v>
      </c>
      <c r="AW12" s="55">
        <f t="shared" si="71"/>
        <v>132189.44560176169</v>
      </c>
      <c r="AX12" s="50" t="s">
        <v>17</v>
      </c>
      <c r="AY12" s="29" t="s">
        <v>17</v>
      </c>
      <c r="AZ12" s="30">
        <f t="shared" si="20"/>
        <v>2964.688881230466</v>
      </c>
      <c r="BA12" s="177">
        <f t="shared" si="72"/>
        <v>1.3818078003052967</v>
      </c>
      <c r="BB12" s="168">
        <f t="shared" si="73"/>
        <v>0.27323883056884402</v>
      </c>
      <c r="BC12" s="31">
        <f t="shared" si="21"/>
        <v>9.7421470060490734E-2</v>
      </c>
      <c r="BD12" s="32">
        <f t="shared" si="74"/>
        <v>137116.58955433519</v>
      </c>
      <c r="BE12" s="55">
        <f t="shared" si="75"/>
        <v>137116.58955433519</v>
      </c>
      <c r="BF12" s="50" t="s">
        <v>17</v>
      </c>
      <c r="BG12" s="29" t="s">
        <v>17</v>
      </c>
      <c r="BH12" s="30">
        <f t="shared" si="22"/>
        <v>3173.7080726242698</v>
      </c>
      <c r="BI12" s="177">
        <f t="shared" si="76"/>
        <v>1.4068304437794243</v>
      </c>
      <c r="BJ12" s="168">
        <f t="shared" si="77"/>
        <v>0.27818681091683534</v>
      </c>
      <c r="BK12" s="31">
        <f t="shared" si="23"/>
        <v>9.5511788214399373E-2</v>
      </c>
      <c r="BL12" s="32">
        <f t="shared" si="78"/>
        <v>141346.81739040531</v>
      </c>
      <c r="BM12" s="55">
        <f t="shared" si="79"/>
        <v>141346.81739040531</v>
      </c>
      <c r="BN12" s="50" t="s">
        <v>17</v>
      </c>
      <c r="BO12" s="29" t="s">
        <v>17</v>
      </c>
      <c r="BP12" s="30">
        <f t="shared" si="24"/>
        <v>3389.1757820608632</v>
      </c>
      <c r="BQ12" s="177">
        <f t="shared" si="80"/>
        <v>1.431674042620706</v>
      </c>
      <c r="BR12" s="168">
        <f t="shared" si="81"/>
        <v>0.28309938695889669</v>
      </c>
      <c r="BS12" s="31">
        <f t="shared" si="25"/>
        <v>9.3377436583568285E-2</v>
      </c>
      <c r="BT12" s="32">
        <f t="shared" si="82"/>
        <v>145009.25799346264</v>
      </c>
      <c r="BU12" s="55">
        <f t="shared" si="83"/>
        <v>145009.25799346264</v>
      </c>
      <c r="BV12" s="33" t="s">
        <v>17</v>
      </c>
      <c r="BW12" s="29" t="s">
        <v>17</v>
      </c>
      <c r="BX12" s="30">
        <f t="shared" si="26"/>
        <v>3610.2264802216291</v>
      </c>
      <c r="BY12" s="177">
        <f t="shared" si="84"/>
        <v>1.4559943355403473</v>
      </c>
      <c r="BZ12" s="168">
        <f t="shared" si="85"/>
        <v>0.28790848442888223</v>
      </c>
      <c r="CA12" s="31">
        <f t="shared" si="27"/>
        <v>9.1117738790128522E-2</v>
      </c>
      <c r="CB12" s="32">
        <f t="shared" si="86"/>
        <v>148211.37450993469</v>
      </c>
      <c r="CC12" s="55">
        <f t="shared" si="87"/>
        <v>32430.331786792296</v>
      </c>
      <c r="CD12" s="50" t="s">
        <v>17</v>
      </c>
      <c r="CE12" s="29" t="s">
        <v>17</v>
      </c>
      <c r="CF12" s="30">
        <f t="shared" si="28"/>
        <v>3659.6629616039345</v>
      </c>
      <c r="CG12" s="177">
        <f t="shared" si="88"/>
        <v>1.4613343090815942</v>
      </c>
      <c r="CH12" s="168">
        <f t="shared" si="89"/>
        <v>0.28896441140031526</v>
      </c>
      <c r="CI12" s="31">
        <f t="shared" si="29"/>
        <v>9.0593552330447635E-2</v>
      </c>
      <c r="CJ12" s="32">
        <f t="shared" si="90"/>
        <v>148830.73918954507</v>
      </c>
      <c r="CK12" s="55">
        <f t="shared" si="91"/>
        <v>0</v>
      </c>
      <c r="CL12" s="33" t="s">
        <v>17</v>
      </c>
      <c r="CM12" s="29" t="s">
        <v>17</v>
      </c>
      <c r="CN12" s="30">
        <f t="shared" si="30"/>
        <v>3659.6629616039345</v>
      </c>
      <c r="CO12" s="177">
        <f t="shared" si="92"/>
        <v>1.4613343090815942</v>
      </c>
      <c r="CP12" s="168">
        <f t="shared" si="93"/>
        <v>0.28896441140031526</v>
      </c>
      <c r="CQ12" s="31">
        <f t="shared" si="31"/>
        <v>9.0593552330447635E-2</v>
      </c>
      <c r="CR12" s="32">
        <f t="shared" si="94"/>
        <v>148830.73918954507</v>
      </c>
      <c r="CS12" s="55">
        <f t="shared" si="95"/>
        <v>0</v>
      </c>
      <c r="CT12" s="50" t="s">
        <v>17</v>
      </c>
      <c r="CU12" s="29" t="s">
        <v>17</v>
      </c>
      <c r="CV12" s="30">
        <f t="shared" si="32"/>
        <v>3659.6629616039345</v>
      </c>
      <c r="CW12" s="177">
        <f t="shared" si="96"/>
        <v>1.4613343090815942</v>
      </c>
      <c r="CX12" s="168">
        <f t="shared" si="97"/>
        <v>0.28896441140031526</v>
      </c>
      <c r="CY12" s="31">
        <f t="shared" si="33"/>
        <v>9.0593552330447635E-2</v>
      </c>
      <c r="CZ12" s="32">
        <f t="shared" si="98"/>
        <v>148830.73918954507</v>
      </c>
      <c r="DA12" s="55">
        <f t="shared" si="99"/>
        <v>0</v>
      </c>
      <c r="DB12" s="33" t="s">
        <v>17</v>
      </c>
      <c r="DC12" s="29" t="s">
        <v>17</v>
      </c>
      <c r="DD12" s="30">
        <f t="shared" si="34"/>
        <v>3659.6629616039345</v>
      </c>
      <c r="DE12" s="177">
        <f t="shared" si="100"/>
        <v>1.4613343090815942</v>
      </c>
      <c r="DF12" s="168">
        <f t="shared" si="101"/>
        <v>0.28896441140031526</v>
      </c>
      <c r="DG12" s="31">
        <f t="shared" si="35"/>
        <v>9.0593552330447635E-2</v>
      </c>
      <c r="DH12" s="32">
        <f t="shared" si="102"/>
        <v>148830.73918954507</v>
      </c>
      <c r="DI12" s="55">
        <f t="shared" si="103"/>
        <v>0</v>
      </c>
      <c r="DJ12" s="50" t="s">
        <v>17</v>
      </c>
      <c r="DK12" s="29" t="s">
        <v>17</v>
      </c>
      <c r="DL12" s="30">
        <f t="shared" si="36"/>
        <v>3659.6629616039345</v>
      </c>
      <c r="DM12" s="177">
        <f t="shared" si="104"/>
        <v>1.4613343090815942</v>
      </c>
      <c r="DN12" s="168">
        <f t="shared" si="105"/>
        <v>0.28896441140031526</v>
      </c>
      <c r="DO12" s="31">
        <f t="shared" si="37"/>
        <v>9.0593552330447635E-2</v>
      </c>
      <c r="DP12" s="32">
        <f t="shared" si="106"/>
        <v>148830.73918954507</v>
      </c>
      <c r="DQ12" s="55">
        <f t="shared" si="107"/>
        <v>0</v>
      </c>
      <c r="DR12" s="33" t="s">
        <v>17</v>
      </c>
      <c r="DS12" s="29" t="s">
        <v>17</v>
      </c>
      <c r="DT12" s="30">
        <f t="shared" si="38"/>
        <v>3659.6629616039345</v>
      </c>
      <c r="DU12" s="177">
        <f t="shared" si="108"/>
        <v>1.4613343090815942</v>
      </c>
      <c r="DV12" s="168">
        <f t="shared" si="109"/>
        <v>0.28896441140031526</v>
      </c>
      <c r="DW12" s="31">
        <f t="shared" si="39"/>
        <v>9.0593552330447635E-2</v>
      </c>
      <c r="DX12" s="32">
        <f t="shared" si="110"/>
        <v>148830.73918954507</v>
      </c>
      <c r="DY12" s="55">
        <f t="shared" si="111"/>
        <v>0</v>
      </c>
      <c r="DZ12" s="50" t="s">
        <v>17</v>
      </c>
      <c r="EA12" s="29" t="s">
        <v>17</v>
      </c>
      <c r="EB12" s="30">
        <f t="shared" si="40"/>
        <v>3659.6629616039345</v>
      </c>
      <c r="EC12" s="177">
        <f t="shared" si="112"/>
        <v>1.4613343090815942</v>
      </c>
      <c r="ED12" s="168">
        <f t="shared" si="113"/>
        <v>0.28896441140031526</v>
      </c>
      <c r="EE12" s="31">
        <f t="shared" si="41"/>
        <v>9.0593552330447635E-2</v>
      </c>
      <c r="EF12" s="32">
        <f t="shared" si="114"/>
        <v>148830.73918954507</v>
      </c>
      <c r="EG12" s="55">
        <f t="shared" si="115"/>
        <v>0</v>
      </c>
      <c r="EH12" s="33" t="s">
        <v>17</v>
      </c>
      <c r="EI12" s="29" t="s">
        <v>17</v>
      </c>
      <c r="EJ12" s="30">
        <f t="shared" si="42"/>
        <v>3659.6629616039345</v>
      </c>
      <c r="EK12" s="177">
        <f t="shared" si="116"/>
        <v>1.4613343090815942</v>
      </c>
      <c r="EL12" s="168">
        <f t="shared" si="117"/>
        <v>0.28896441140031526</v>
      </c>
      <c r="EM12" s="31">
        <f t="shared" si="43"/>
        <v>9.0593552330447635E-2</v>
      </c>
      <c r="EN12" s="32">
        <f t="shared" si="118"/>
        <v>148830.73918954507</v>
      </c>
      <c r="EO12" s="55">
        <f t="shared" si="119"/>
        <v>0</v>
      </c>
      <c r="EP12" s="50" t="s">
        <v>17</v>
      </c>
      <c r="EQ12" s="29" t="s">
        <v>17</v>
      </c>
      <c r="ER12" s="30">
        <f t="shared" si="44"/>
        <v>3659.6629616039345</v>
      </c>
      <c r="ES12" s="177">
        <f t="shared" si="120"/>
        <v>1.4613343090815942</v>
      </c>
      <c r="ET12" s="168">
        <f t="shared" si="121"/>
        <v>0.28896441140031526</v>
      </c>
      <c r="EU12" s="31">
        <f t="shared" si="45"/>
        <v>9.0593552330447635E-2</v>
      </c>
      <c r="EV12" s="32">
        <f t="shared" si="122"/>
        <v>148830.73918954507</v>
      </c>
      <c r="EW12" s="55">
        <f t="shared" si="123"/>
        <v>0</v>
      </c>
      <c r="EX12" s="33" t="s">
        <v>17</v>
      </c>
      <c r="EY12" s="29" t="s">
        <v>17</v>
      </c>
      <c r="EZ12" s="30">
        <f t="shared" si="46"/>
        <v>3659.6629616039345</v>
      </c>
      <c r="FA12" s="177">
        <f t="shared" si="124"/>
        <v>1.4613343090815942</v>
      </c>
      <c r="FB12" s="168">
        <f t="shared" si="125"/>
        <v>0.28896441140031526</v>
      </c>
      <c r="FC12" s="31">
        <f t="shared" si="47"/>
        <v>9.0593552330447635E-2</v>
      </c>
      <c r="FD12" s="32">
        <f t="shared" si="126"/>
        <v>148830.73918954507</v>
      </c>
      <c r="FE12" s="55">
        <f t="shared" si="127"/>
        <v>0</v>
      </c>
      <c r="FF12" s="50" t="s">
        <v>17</v>
      </c>
      <c r="FG12" s="29" t="s">
        <v>17</v>
      </c>
      <c r="FH12" s="30">
        <f t="shared" si="48"/>
        <v>3659.6629616039345</v>
      </c>
      <c r="FI12" s="177">
        <f t="shared" si="128"/>
        <v>1.4613343090815942</v>
      </c>
      <c r="FJ12" s="168">
        <f t="shared" si="129"/>
        <v>0.28896441140031526</v>
      </c>
      <c r="FK12" s="31">
        <f t="shared" si="49"/>
        <v>9.0593552330447635E-2</v>
      </c>
      <c r="FL12" s="32">
        <f t="shared" si="130"/>
        <v>148830.73918954507</v>
      </c>
      <c r="FM12" s="55">
        <f t="shared" si="131"/>
        <v>0</v>
      </c>
      <c r="FN12" s="78">
        <f t="shared" si="132"/>
        <v>1047674.3255413643</v>
      </c>
      <c r="FO12" s="142">
        <f t="shared" si="50"/>
        <v>1253938.902812181</v>
      </c>
      <c r="FP12" s="138" t="s">
        <v>17</v>
      </c>
      <c r="FQ12" s="42">
        <f>'Исходные данные'!I14</f>
        <v>0</v>
      </c>
      <c r="FR12" s="43">
        <f t="shared" si="133"/>
        <v>1253938.902812181</v>
      </c>
      <c r="FS12" s="43">
        <f t="shared" si="134"/>
        <v>1253938.902812181</v>
      </c>
      <c r="FT12" s="43">
        <f t="shared" si="135"/>
        <v>1253938.902812181</v>
      </c>
      <c r="FU12" s="146">
        <v>1253939</v>
      </c>
    </row>
    <row r="13" spans="1:268" ht="22.5" customHeight="1" x14ac:dyDescent="0.2">
      <c r="A13" s="209" t="s">
        <v>136</v>
      </c>
      <c r="B13" s="50" t="s">
        <v>17</v>
      </c>
      <c r="C13" s="29" t="s">
        <v>17</v>
      </c>
      <c r="D13" s="29" t="s">
        <v>17</v>
      </c>
      <c r="E13" s="29" t="s">
        <v>17</v>
      </c>
      <c r="F13" s="51" t="s">
        <v>17</v>
      </c>
      <c r="G13" s="57">
        <f>'Исходные данные'!C15</f>
        <v>772</v>
      </c>
      <c r="H13" s="194">
        <f>'Исходные данные'!D15</f>
        <v>1013900</v>
      </c>
      <c r="I13" s="198">
        <f>'Расчет поправочного коэф'!G14</f>
        <v>4.9964285714285719</v>
      </c>
      <c r="J13" s="190">
        <f t="shared" si="9"/>
        <v>242738.19154431479</v>
      </c>
      <c r="K13" s="187">
        <f t="shared" si="10"/>
        <v>1627.769678166211</v>
      </c>
      <c r="L13" s="173">
        <f t="shared" si="52"/>
        <v>1.0114013601289567</v>
      </c>
      <c r="M13" s="211">
        <f t="shared" si="53"/>
        <v>0.20242486121237158</v>
      </c>
      <c r="N13" s="29" t="s">
        <v>17</v>
      </c>
      <c r="O13" s="31">
        <f t="shared" si="54"/>
        <v>0.14762266551789976</v>
      </c>
      <c r="P13" s="32">
        <f t="shared" si="11"/>
        <v>183417.07529809134</v>
      </c>
      <c r="Q13" s="55">
        <f t="shared" si="55"/>
        <v>183417.07529809134</v>
      </c>
      <c r="R13" s="50" t="s">
        <v>17</v>
      </c>
      <c r="S13" s="29" t="s">
        <v>17</v>
      </c>
      <c r="T13" s="30">
        <f t="shared" si="12"/>
        <v>1865.3565632673656</v>
      </c>
      <c r="U13" s="177">
        <f t="shared" si="56"/>
        <v>1.0881983001239541</v>
      </c>
      <c r="V13" s="168">
        <f t="shared" si="57"/>
        <v>0.21779522804482282</v>
      </c>
      <c r="W13" s="31">
        <f t="shared" si="13"/>
        <v>0.13727836337780552</v>
      </c>
      <c r="X13" s="32">
        <f t="shared" si="58"/>
        <v>181665.81420242641</v>
      </c>
      <c r="Y13" s="55">
        <f t="shared" si="59"/>
        <v>181665.81420242641</v>
      </c>
      <c r="Z13" s="33" t="s">
        <v>17</v>
      </c>
      <c r="AA13" s="29" t="s">
        <v>17</v>
      </c>
      <c r="AB13" s="30">
        <f t="shared" si="14"/>
        <v>2100.6749754466746</v>
      </c>
      <c r="AC13" s="177">
        <f t="shared" si="60"/>
        <v>1.1540255565666246</v>
      </c>
      <c r="AD13" s="168">
        <f t="shared" si="61"/>
        <v>0.23097008994900275</v>
      </c>
      <c r="AE13" s="31">
        <f t="shared" si="15"/>
        <v>0.12861590079467949</v>
      </c>
      <c r="AF13" s="32">
        <f t="shared" si="62"/>
        <v>180740.46669889396</v>
      </c>
      <c r="AG13" s="55">
        <f t="shared" si="63"/>
        <v>180740.46669889396</v>
      </c>
      <c r="AH13" s="50" t="s">
        <v>17</v>
      </c>
      <c r="AI13" s="29" t="s">
        <v>17</v>
      </c>
      <c r="AJ13" s="30">
        <f t="shared" si="16"/>
        <v>2334.7947509633768</v>
      </c>
      <c r="AK13" s="177">
        <f t="shared" si="64"/>
        <v>1.2112188439720881</v>
      </c>
      <c r="AL13" s="168">
        <f t="shared" si="65"/>
        <v>0.24241692373994614</v>
      </c>
      <c r="AM13" s="31">
        <f t="shared" si="17"/>
        <v>0.1212336296827061</v>
      </c>
      <c r="AN13" s="32">
        <f t="shared" si="66"/>
        <v>180412.44725013204</v>
      </c>
      <c r="AO13" s="55">
        <f t="shared" si="67"/>
        <v>180412.44725013204</v>
      </c>
      <c r="AP13" s="50" t="s">
        <v>17</v>
      </c>
      <c r="AQ13" s="29" t="s">
        <v>17</v>
      </c>
      <c r="AR13" s="30">
        <f t="shared" si="18"/>
        <v>2568.4896308210605</v>
      </c>
      <c r="AS13" s="177">
        <f t="shared" si="68"/>
        <v>1.2614938209459627</v>
      </c>
      <c r="AT13" s="168">
        <f t="shared" si="69"/>
        <v>0.25247910640805543</v>
      </c>
      <c r="AU13" s="31">
        <f t="shared" si="19"/>
        <v>0.11484616653091256</v>
      </c>
      <c r="AV13" s="32">
        <f t="shared" si="70"/>
        <v>180520.48552097936</v>
      </c>
      <c r="AW13" s="55">
        <f t="shared" si="71"/>
        <v>180520.48552097936</v>
      </c>
      <c r="AX13" s="50" t="s">
        <v>17</v>
      </c>
      <c r="AY13" s="29" t="s">
        <v>17</v>
      </c>
      <c r="AZ13" s="30">
        <f t="shared" si="20"/>
        <v>2802.3244566254375</v>
      </c>
      <c r="BA13" s="177">
        <f t="shared" si="72"/>
        <v>1.3061315869151779</v>
      </c>
      <c r="BB13" s="168">
        <f t="shared" si="73"/>
        <v>0.26141304098373824</v>
      </c>
      <c r="BC13" s="31">
        <f t="shared" si="21"/>
        <v>0.10924725964559651</v>
      </c>
      <c r="BD13" s="32">
        <f t="shared" si="74"/>
        <v>180950.31227814831</v>
      </c>
      <c r="BE13" s="55">
        <f t="shared" si="75"/>
        <v>180950.31227814831</v>
      </c>
      <c r="BF13" s="50" t="s">
        <v>17</v>
      </c>
      <c r="BG13" s="29" t="s">
        <v>17</v>
      </c>
      <c r="BH13" s="30">
        <f t="shared" si="22"/>
        <v>3036.7160528406557</v>
      </c>
      <c r="BI13" s="177">
        <f t="shared" si="76"/>
        <v>1.34610509047777</v>
      </c>
      <c r="BJ13" s="168">
        <f t="shared" si="77"/>
        <v>0.26941345627861013</v>
      </c>
      <c r="BK13" s="31">
        <f t="shared" si="23"/>
        <v>0.10428514285262458</v>
      </c>
      <c r="BL13" s="32">
        <f t="shared" si="78"/>
        <v>181620.53865010667</v>
      </c>
      <c r="BM13" s="55">
        <f t="shared" si="79"/>
        <v>181620.53865010667</v>
      </c>
      <c r="BN13" s="50" t="s">
        <v>17</v>
      </c>
      <c r="BO13" s="29" t="s">
        <v>17</v>
      </c>
      <c r="BP13" s="30">
        <f t="shared" si="24"/>
        <v>3271.9758179314672</v>
      </c>
      <c r="BQ13" s="177">
        <f t="shared" si="80"/>
        <v>1.3821657971858516</v>
      </c>
      <c r="BR13" s="168">
        <f t="shared" si="81"/>
        <v>0.27663075283205035</v>
      </c>
      <c r="BS13" s="31">
        <f t="shared" si="25"/>
        <v>9.9846070710414625E-2</v>
      </c>
      <c r="BT13" s="32">
        <f t="shared" si="82"/>
        <v>182472.83618855898</v>
      </c>
      <c r="BU13" s="55">
        <f t="shared" si="83"/>
        <v>182472.83618855898</v>
      </c>
      <c r="BV13" s="33" t="s">
        <v>17</v>
      </c>
      <c r="BW13" s="29" t="s">
        <v>17</v>
      </c>
      <c r="BX13" s="30">
        <f t="shared" si="26"/>
        <v>3508.3395953777872</v>
      </c>
      <c r="BY13" s="177">
        <f t="shared" si="84"/>
        <v>1.4149036372112556</v>
      </c>
      <c r="BZ13" s="168">
        <f t="shared" si="85"/>
        <v>0.28318300101440425</v>
      </c>
      <c r="CA13" s="31">
        <f t="shared" si="27"/>
        <v>9.5843222204606504E-2</v>
      </c>
      <c r="CB13" s="32">
        <f t="shared" si="86"/>
        <v>183465.10271144327</v>
      </c>
      <c r="CC13" s="55">
        <f t="shared" si="87"/>
        <v>40144.247848070605</v>
      </c>
      <c r="CD13" s="50" t="s">
        <v>17</v>
      </c>
      <c r="CE13" s="29" t="s">
        <v>17</v>
      </c>
      <c r="CF13" s="30">
        <f t="shared" si="28"/>
        <v>3560.3399164245111</v>
      </c>
      <c r="CG13" s="177">
        <f t="shared" si="88"/>
        <v>1.421673778828956</v>
      </c>
      <c r="CH13" s="168">
        <f t="shared" si="89"/>
        <v>0.28453799719235712</v>
      </c>
      <c r="CI13" s="31">
        <f t="shared" si="29"/>
        <v>9.5019966538405776E-2</v>
      </c>
      <c r="CJ13" s="32">
        <f t="shared" si="90"/>
        <v>183706.14485276767</v>
      </c>
      <c r="CK13" s="55">
        <f t="shared" si="91"/>
        <v>0</v>
      </c>
      <c r="CL13" s="33" t="s">
        <v>17</v>
      </c>
      <c r="CM13" s="29" t="s">
        <v>17</v>
      </c>
      <c r="CN13" s="30">
        <f t="shared" si="30"/>
        <v>3560.3399164245111</v>
      </c>
      <c r="CO13" s="177">
        <f t="shared" si="92"/>
        <v>1.421673778828956</v>
      </c>
      <c r="CP13" s="168">
        <f t="shared" si="93"/>
        <v>0.28453799719235712</v>
      </c>
      <c r="CQ13" s="31">
        <f t="shared" si="31"/>
        <v>9.5019966538405776E-2</v>
      </c>
      <c r="CR13" s="32">
        <f t="shared" si="94"/>
        <v>183706.14485276767</v>
      </c>
      <c r="CS13" s="55">
        <f t="shared" si="95"/>
        <v>0</v>
      </c>
      <c r="CT13" s="50" t="s">
        <v>17</v>
      </c>
      <c r="CU13" s="29" t="s">
        <v>17</v>
      </c>
      <c r="CV13" s="30">
        <f t="shared" si="32"/>
        <v>3560.3399164245111</v>
      </c>
      <c r="CW13" s="177">
        <f t="shared" si="96"/>
        <v>1.421673778828956</v>
      </c>
      <c r="CX13" s="168">
        <f t="shared" si="97"/>
        <v>0.28453799719235712</v>
      </c>
      <c r="CY13" s="31">
        <f t="shared" si="33"/>
        <v>9.5019966538405776E-2</v>
      </c>
      <c r="CZ13" s="32">
        <f t="shared" si="98"/>
        <v>183706.14485276767</v>
      </c>
      <c r="DA13" s="55">
        <f t="shared" si="99"/>
        <v>0</v>
      </c>
      <c r="DB13" s="33" t="s">
        <v>17</v>
      </c>
      <c r="DC13" s="29" t="s">
        <v>17</v>
      </c>
      <c r="DD13" s="30">
        <f t="shared" si="34"/>
        <v>3560.3399164245111</v>
      </c>
      <c r="DE13" s="177">
        <f t="shared" si="100"/>
        <v>1.421673778828956</v>
      </c>
      <c r="DF13" s="168">
        <f t="shared" si="101"/>
        <v>0.28453799719235712</v>
      </c>
      <c r="DG13" s="31">
        <f t="shared" si="35"/>
        <v>9.5019966538405776E-2</v>
      </c>
      <c r="DH13" s="32">
        <f t="shared" si="102"/>
        <v>183706.14485276767</v>
      </c>
      <c r="DI13" s="55">
        <f t="shared" si="103"/>
        <v>0</v>
      </c>
      <c r="DJ13" s="50" t="s">
        <v>17</v>
      </c>
      <c r="DK13" s="29" t="s">
        <v>17</v>
      </c>
      <c r="DL13" s="30">
        <f t="shared" si="36"/>
        <v>3560.3399164245111</v>
      </c>
      <c r="DM13" s="177">
        <f t="shared" si="104"/>
        <v>1.421673778828956</v>
      </c>
      <c r="DN13" s="168">
        <f t="shared" si="105"/>
        <v>0.28453799719235712</v>
      </c>
      <c r="DO13" s="31">
        <f t="shared" si="37"/>
        <v>9.5019966538405776E-2</v>
      </c>
      <c r="DP13" s="32">
        <f t="shared" si="106"/>
        <v>183706.14485276767</v>
      </c>
      <c r="DQ13" s="55">
        <f t="shared" si="107"/>
        <v>0</v>
      </c>
      <c r="DR13" s="33" t="s">
        <v>17</v>
      </c>
      <c r="DS13" s="29" t="s">
        <v>17</v>
      </c>
      <c r="DT13" s="30">
        <f t="shared" si="38"/>
        <v>3560.3399164245111</v>
      </c>
      <c r="DU13" s="177">
        <f t="shared" si="108"/>
        <v>1.421673778828956</v>
      </c>
      <c r="DV13" s="168">
        <f t="shared" si="109"/>
        <v>0.28453799719235712</v>
      </c>
      <c r="DW13" s="31">
        <f t="shared" si="39"/>
        <v>9.5019966538405776E-2</v>
      </c>
      <c r="DX13" s="32">
        <f t="shared" si="110"/>
        <v>183706.14485276767</v>
      </c>
      <c r="DY13" s="55">
        <f t="shared" si="111"/>
        <v>0</v>
      </c>
      <c r="DZ13" s="50" t="s">
        <v>17</v>
      </c>
      <c r="EA13" s="29" t="s">
        <v>17</v>
      </c>
      <c r="EB13" s="30">
        <f t="shared" si="40"/>
        <v>3560.3399164245111</v>
      </c>
      <c r="EC13" s="177">
        <f t="shared" si="112"/>
        <v>1.421673778828956</v>
      </c>
      <c r="ED13" s="168">
        <f t="shared" si="113"/>
        <v>0.28453799719235712</v>
      </c>
      <c r="EE13" s="31">
        <f t="shared" si="41"/>
        <v>9.5019966538405776E-2</v>
      </c>
      <c r="EF13" s="32">
        <f t="shared" si="114"/>
        <v>183706.14485276767</v>
      </c>
      <c r="EG13" s="55">
        <f t="shared" si="115"/>
        <v>0</v>
      </c>
      <c r="EH13" s="33" t="s">
        <v>17</v>
      </c>
      <c r="EI13" s="29" t="s">
        <v>17</v>
      </c>
      <c r="EJ13" s="30">
        <f t="shared" si="42"/>
        <v>3560.3399164245111</v>
      </c>
      <c r="EK13" s="177">
        <f t="shared" si="116"/>
        <v>1.421673778828956</v>
      </c>
      <c r="EL13" s="168">
        <f t="shared" si="117"/>
        <v>0.28453799719235712</v>
      </c>
      <c r="EM13" s="31">
        <f t="shared" si="43"/>
        <v>9.5019966538405776E-2</v>
      </c>
      <c r="EN13" s="32">
        <f t="shared" si="118"/>
        <v>183706.14485276767</v>
      </c>
      <c r="EO13" s="55">
        <f t="shared" si="119"/>
        <v>0</v>
      </c>
      <c r="EP13" s="50" t="s">
        <v>17</v>
      </c>
      <c r="EQ13" s="29" t="s">
        <v>17</v>
      </c>
      <c r="ER13" s="30">
        <f t="shared" si="44"/>
        <v>3560.3399164245111</v>
      </c>
      <c r="ES13" s="177">
        <f t="shared" si="120"/>
        <v>1.421673778828956</v>
      </c>
      <c r="ET13" s="168">
        <f t="shared" si="121"/>
        <v>0.28453799719235712</v>
      </c>
      <c r="EU13" s="31">
        <f t="shared" si="45"/>
        <v>9.5019966538405776E-2</v>
      </c>
      <c r="EV13" s="32">
        <f t="shared" si="122"/>
        <v>183706.14485276767</v>
      </c>
      <c r="EW13" s="55">
        <f t="shared" si="123"/>
        <v>0</v>
      </c>
      <c r="EX13" s="33" t="s">
        <v>17</v>
      </c>
      <c r="EY13" s="29" t="s">
        <v>17</v>
      </c>
      <c r="EZ13" s="30">
        <f t="shared" si="46"/>
        <v>3560.3399164245111</v>
      </c>
      <c r="FA13" s="177">
        <f t="shared" si="124"/>
        <v>1.421673778828956</v>
      </c>
      <c r="FB13" s="168">
        <f t="shared" si="125"/>
        <v>0.28453799719235712</v>
      </c>
      <c r="FC13" s="31">
        <f t="shared" si="47"/>
        <v>9.5019966538405776E-2</v>
      </c>
      <c r="FD13" s="32">
        <f t="shared" si="126"/>
        <v>183706.14485276767</v>
      </c>
      <c r="FE13" s="55">
        <f t="shared" si="127"/>
        <v>0</v>
      </c>
      <c r="FF13" s="50" t="s">
        <v>17</v>
      </c>
      <c r="FG13" s="29" t="s">
        <v>17</v>
      </c>
      <c r="FH13" s="30">
        <f t="shared" si="48"/>
        <v>3560.3399164245111</v>
      </c>
      <c r="FI13" s="177">
        <f t="shared" si="128"/>
        <v>1.421673778828956</v>
      </c>
      <c r="FJ13" s="168">
        <f t="shared" si="129"/>
        <v>0.28453799719235712</v>
      </c>
      <c r="FK13" s="31">
        <f t="shared" si="49"/>
        <v>9.5019966538405776E-2</v>
      </c>
      <c r="FL13" s="32">
        <f t="shared" si="130"/>
        <v>183706.14485276767</v>
      </c>
      <c r="FM13" s="55">
        <f t="shared" si="131"/>
        <v>0</v>
      </c>
      <c r="FN13" s="78">
        <f t="shared" si="132"/>
        <v>1491944.2239354076</v>
      </c>
      <c r="FO13" s="142">
        <f t="shared" si="50"/>
        <v>1734682.4154797224</v>
      </c>
      <c r="FP13" s="138" t="s">
        <v>17</v>
      </c>
      <c r="FQ13" s="42">
        <f>'Исходные данные'!I15</f>
        <v>0</v>
      </c>
      <c r="FR13" s="43">
        <f t="shared" si="133"/>
        <v>1734682.4154797224</v>
      </c>
      <c r="FS13" s="43">
        <f t="shared" si="134"/>
        <v>1734682.4154797224</v>
      </c>
      <c r="FT13" s="43">
        <f t="shared" si="135"/>
        <v>1734682.4154797224</v>
      </c>
      <c r="FU13" s="146">
        <v>1734682</v>
      </c>
    </row>
    <row r="14" spans="1:268" ht="22.5" customHeight="1" x14ac:dyDescent="0.2">
      <c r="A14" s="209" t="s">
        <v>137</v>
      </c>
      <c r="B14" s="50" t="s">
        <v>17</v>
      </c>
      <c r="C14" s="29" t="s">
        <v>17</v>
      </c>
      <c r="D14" s="29" t="s">
        <v>17</v>
      </c>
      <c r="E14" s="29" t="s">
        <v>17</v>
      </c>
      <c r="F14" s="51" t="s">
        <v>17</v>
      </c>
      <c r="G14" s="57">
        <f>'Исходные данные'!C16</f>
        <v>955</v>
      </c>
      <c r="H14" s="194">
        <f>'Исходные данные'!D16</f>
        <v>974100</v>
      </c>
      <c r="I14" s="198">
        <f>'Расчет поправочного коэф'!G15</f>
        <v>3.230952380952381</v>
      </c>
      <c r="J14" s="190">
        <f t="shared" si="9"/>
        <v>300278.46233785059</v>
      </c>
      <c r="K14" s="187">
        <f t="shared" si="10"/>
        <v>1334.4277092542939</v>
      </c>
      <c r="L14" s="173">
        <f t="shared" si="52"/>
        <v>0.82913572984970496</v>
      </c>
      <c r="M14" s="211">
        <f t="shared" si="53"/>
        <v>0.25662270194316589</v>
      </c>
      <c r="N14" s="29" t="s">
        <v>17</v>
      </c>
      <c r="O14" s="31">
        <f t="shared" si="54"/>
        <v>9.3424824787105454E-2</v>
      </c>
      <c r="P14" s="32">
        <f t="shared" si="11"/>
        <v>143593.60026368176</v>
      </c>
      <c r="Q14" s="55">
        <f t="shared" si="55"/>
        <v>143593.60026368176</v>
      </c>
      <c r="R14" s="50" t="s">
        <v>17</v>
      </c>
      <c r="S14" s="29" t="s">
        <v>17</v>
      </c>
      <c r="T14" s="30">
        <f t="shared" si="12"/>
        <v>1484.7875001063167</v>
      </c>
      <c r="U14" s="177">
        <f t="shared" si="56"/>
        <v>0.86618465631624197</v>
      </c>
      <c r="V14" s="168">
        <f t="shared" si="57"/>
        <v>0.26808957675226353</v>
      </c>
      <c r="W14" s="31">
        <f t="shared" si="13"/>
        <v>8.6984014670364818E-2</v>
      </c>
      <c r="X14" s="32">
        <f t="shared" si="58"/>
        <v>142395.62176043406</v>
      </c>
      <c r="Y14" s="55">
        <f t="shared" si="59"/>
        <v>142395.62176043406</v>
      </c>
      <c r="Z14" s="33" t="s">
        <v>17</v>
      </c>
      <c r="AA14" s="29" t="s">
        <v>17</v>
      </c>
      <c r="AB14" s="30">
        <f t="shared" si="14"/>
        <v>1633.8928632062475</v>
      </c>
      <c r="AC14" s="177">
        <f t="shared" si="60"/>
        <v>0.8975944126867571</v>
      </c>
      <c r="AD14" s="168">
        <f t="shared" si="61"/>
        <v>0.27781109309391155</v>
      </c>
      <c r="AE14" s="31">
        <f t="shared" si="15"/>
        <v>8.1774897649770695E-2</v>
      </c>
      <c r="AF14" s="32">
        <f t="shared" si="62"/>
        <v>142156.53070162216</v>
      </c>
      <c r="AG14" s="55">
        <f t="shared" si="63"/>
        <v>142156.53070162216</v>
      </c>
      <c r="AH14" s="50" t="s">
        <v>17</v>
      </c>
      <c r="AI14" s="29" t="s">
        <v>17</v>
      </c>
      <c r="AJ14" s="30">
        <f t="shared" si="16"/>
        <v>1782.7478691765325</v>
      </c>
      <c r="AK14" s="177">
        <f t="shared" si="64"/>
        <v>0.9248341047138039</v>
      </c>
      <c r="AL14" s="168">
        <f t="shared" si="65"/>
        <v>0.28624194840073519</v>
      </c>
      <c r="AM14" s="31">
        <f t="shared" si="17"/>
        <v>7.7408605021917043E-2</v>
      </c>
      <c r="AN14" s="32">
        <f t="shared" si="66"/>
        <v>142501.25923382764</v>
      </c>
      <c r="AO14" s="55">
        <f t="shared" si="67"/>
        <v>142501.25923382764</v>
      </c>
      <c r="AP14" s="50" t="s">
        <v>17</v>
      </c>
      <c r="AQ14" s="29" t="s">
        <v>17</v>
      </c>
      <c r="AR14" s="30">
        <f t="shared" si="18"/>
        <v>1931.9638474318494</v>
      </c>
      <c r="AS14" s="177">
        <f t="shared" si="68"/>
        <v>0.94886910446556394</v>
      </c>
      <c r="AT14" s="168">
        <f t="shared" si="69"/>
        <v>0.29368093137475082</v>
      </c>
      <c r="AU14" s="31">
        <f t="shared" si="19"/>
        <v>7.3644341564217175E-2</v>
      </c>
      <c r="AV14" s="32">
        <f t="shared" si="70"/>
        <v>143197.50277923807</v>
      </c>
      <c r="AW14" s="55">
        <f t="shared" si="71"/>
        <v>143197.50277923807</v>
      </c>
      <c r="AX14" s="50" t="s">
        <v>17</v>
      </c>
      <c r="AY14" s="29" t="s">
        <v>17</v>
      </c>
      <c r="AZ14" s="30">
        <f t="shared" si="20"/>
        <v>2081.9088765200568</v>
      </c>
      <c r="BA14" s="177">
        <f t="shared" si="72"/>
        <v>0.97035407098307858</v>
      </c>
      <c r="BB14" s="168">
        <f t="shared" si="73"/>
        <v>0.30033066308982537</v>
      </c>
      <c r="BC14" s="31">
        <f t="shared" si="21"/>
        <v>7.0329637539509382E-2</v>
      </c>
      <c r="BD14" s="32">
        <f t="shared" si="74"/>
        <v>144103.07073155339</v>
      </c>
      <c r="BE14" s="55">
        <f t="shared" si="75"/>
        <v>144103.07073155339</v>
      </c>
      <c r="BF14" s="50" t="s">
        <v>17</v>
      </c>
      <c r="BG14" s="29" t="s">
        <v>17</v>
      </c>
      <c r="BH14" s="30">
        <f t="shared" si="22"/>
        <v>2232.8021443017878</v>
      </c>
      <c r="BI14" s="177">
        <f t="shared" si="76"/>
        <v>0.98974888668394967</v>
      </c>
      <c r="BJ14" s="168">
        <f t="shared" si="77"/>
        <v>0.30633348003482597</v>
      </c>
      <c r="BK14" s="31">
        <f t="shared" si="23"/>
        <v>6.7365119096408743E-2</v>
      </c>
      <c r="BL14" s="32">
        <f t="shared" si="78"/>
        <v>145132.16442631223</v>
      </c>
      <c r="BM14" s="55">
        <f t="shared" si="79"/>
        <v>145132.16442631223</v>
      </c>
      <c r="BN14" s="50" t="s">
        <v>17</v>
      </c>
      <c r="BO14" s="29" t="s">
        <v>17</v>
      </c>
      <c r="BP14" s="30">
        <f t="shared" si="24"/>
        <v>2384.7729971042095</v>
      </c>
      <c r="BQ14" s="177">
        <f t="shared" si="80"/>
        <v>1.0073887626509566</v>
      </c>
      <c r="BR14" s="168">
        <f t="shared" si="81"/>
        <v>0.31179313213957388</v>
      </c>
      <c r="BS14" s="31">
        <f t="shared" si="25"/>
        <v>6.4683691402891097E-2</v>
      </c>
      <c r="BT14" s="32">
        <f t="shared" si="82"/>
        <v>146233.91648274692</v>
      </c>
      <c r="BU14" s="55">
        <f t="shared" si="83"/>
        <v>146233.91648274692</v>
      </c>
      <c r="BV14" s="33" t="s">
        <v>17</v>
      </c>
      <c r="BW14" s="29" t="s">
        <v>17</v>
      </c>
      <c r="BX14" s="30">
        <f t="shared" si="26"/>
        <v>2537.8975169814312</v>
      </c>
      <c r="BY14" s="177">
        <f t="shared" si="84"/>
        <v>1.0235270360877837</v>
      </c>
      <c r="BZ14" s="168">
        <f t="shared" si="85"/>
        <v>0.31678802885546731</v>
      </c>
      <c r="CA14" s="31">
        <f t="shared" si="27"/>
        <v>6.2238194363543442E-2</v>
      </c>
      <c r="CB14" s="32">
        <f t="shared" si="86"/>
        <v>147378.83462372763</v>
      </c>
      <c r="CC14" s="55">
        <f t="shared" si="87"/>
        <v>32248.162605616373</v>
      </c>
      <c r="CD14" s="50" t="s">
        <v>17</v>
      </c>
      <c r="CE14" s="29" t="s">
        <v>17</v>
      </c>
      <c r="CF14" s="30">
        <f t="shared" si="28"/>
        <v>2571.6652265161083</v>
      </c>
      <c r="CG14" s="177">
        <f t="shared" si="88"/>
        <v>1.026887630475408</v>
      </c>
      <c r="CH14" s="168">
        <f t="shared" si="89"/>
        <v>0.31782815386858609</v>
      </c>
      <c r="CI14" s="31">
        <f t="shared" si="29"/>
        <v>6.1729809862176799E-2</v>
      </c>
      <c r="CJ14" s="32">
        <f t="shared" si="90"/>
        <v>147635.16739025648</v>
      </c>
      <c r="CK14" s="55">
        <f t="shared" si="91"/>
        <v>0</v>
      </c>
      <c r="CL14" s="33" t="s">
        <v>17</v>
      </c>
      <c r="CM14" s="29" t="s">
        <v>17</v>
      </c>
      <c r="CN14" s="30">
        <f t="shared" si="30"/>
        <v>2571.6652265161083</v>
      </c>
      <c r="CO14" s="177">
        <f t="shared" si="92"/>
        <v>1.026887630475408</v>
      </c>
      <c r="CP14" s="168">
        <f t="shared" si="93"/>
        <v>0.31782815386858609</v>
      </c>
      <c r="CQ14" s="31">
        <f t="shared" si="31"/>
        <v>6.1729809862176799E-2</v>
      </c>
      <c r="CR14" s="32">
        <f t="shared" si="94"/>
        <v>147635.16739025648</v>
      </c>
      <c r="CS14" s="55">
        <f t="shared" si="95"/>
        <v>0</v>
      </c>
      <c r="CT14" s="50" t="s">
        <v>17</v>
      </c>
      <c r="CU14" s="29" t="s">
        <v>17</v>
      </c>
      <c r="CV14" s="30">
        <f t="shared" si="32"/>
        <v>2571.6652265161083</v>
      </c>
      <c r="CW14" s="177">
        <f t="shared" si="96"/>
        <v>1.026887630475408</v>
      </c>
      <c r="CX14" s="168">
        <f t="shared" si="97"/>
        <v>0.31782815386858609</v>
      </c>
      <c r="CY14" s="31">
        <f t="shared" si="33"/>
        <v>6.1729809862176799E-2</v>
      </c>
      <c r="CZ14" s="32">
        <f t="shared" si="98"/>
        <v>147635.16739025648</v>
      </c>
      <c r="DA14" s="55">
        <f t="shared" si="99"/>
        <v>0</v>
      </c>
      <c r="DB14" s="33" t="s">
        <v>17</v>
      </c>
      <c r="DC14" s="29" t="s">
        <v>17</v>
      </c>
      <c r="DD14" s="30">
        <f t="shared" si="34"/>
        <v>2571.6652265161083</v>
      </c>
      <c r="DE14" s="177">
        <f t="shared" si="100"/>
        <v>1.026887630475408</v>
      </c>
      <c r="DF14" s="168">
        <f t="shared" si="101"/>
        <v>0.31782815386858609</v>
      </c>
      <c r="DG14" s="31">
        <f t="shared" si="35"/>
        <v>6.1729809862176799E-2</v>
      </c>
      <c r="DH14" s="32">
        <f t="shared" si="102"/>
        <v>147635.16739025648</v>
      </c>
      <c r="DI14" s="55">
        <f t="shared" si="103"/>
        <v>0</v>
      </c>
      <c r="DJ14" s="50" t="s">
        <v>17</v>
      </c>
      <c r="DK14" s="29" t="s">
        <v>17</v>
      </c>
      <c r="DL14" s="30">
        <f t="shared" si="36"/>
        <v>2571.6652265161083</v>
      </c>
      <c r="DM14" s="177">
        <f t="shared" si="104"/>
        <v>1.026887630475408</v>
      </c>
      <c r="DN14" s="168">
        <f t="shared" si="105"/>
        <v>0.31782815386858609</v>
      </c>
      <c r="DO14" s="31">
        <f t="shared" si="37"/>
        <v>6.1729809862176799E-2</v>
      </c>
      <c r="DP14" s="32">
        <f t="shared" si="106"/>
        <v>147635.16739025648</v>
      </c>
      <c r="DQ14" s="55">
        <f t="shared" si="107"/>
        <v>0</v>
      </c>
      <c r="DR14" s="33" t="s">
        <v>17</v>
      </c>
      <c r="DS14" s="29" t="s">
        <v>17</v>
      </c>
      <c r="DT14" s="30">
        <f t="shared" si="38"/>
        <v>2571.6652265161083</v>
      </c>
      <c r="DU14" s="177">
        <f t="shared" si="108"/>
        <v>1.026887630475408</v>
      </c>
      <c r="DV14" s="168">
        <f t="shared" si="109"/>
        <v>0.31782815386858609</v>
      </c>
      <c r="DW14" s="31">
        <f t="shared" si="39"/>
        <v>6.1729809862176799E-2</v>
      </c>
      <c r="DX14" s="32">
        <f t="shared" si="110"/>
        <v>147635.16739025648</v>
      </c>
      <c r="DY14" s="55">
        <f t="shared" si="111"/>
        <v>0</v>
      </c>
      <c r="DZ14" s="50" t="s">
        <v>17</v>
      </c>
      <c r="EA14" s="29" t="s">
        <v>17</v>
      </c>
      <c r="EB14" s="30">
        <f t="shared" si="40"/>
        <v>2571.6652265161083</v>
      </c>
      <c r="EC14" s="177">
        <f t="shared" si="112"/>
        <v>1.026887630475408</v>
      </c>
      <c r="ED14" s="168">
        <f t="shared" si="113"/>
        <v>0.31782815386858609</v>
      </c>
      <c r="EE14" s="31">
        <f t="shared" si="41"/>
        <v>6.1729809862176799E-2</v>
      </c>
      <c r="EF14" s="32">
        <f t="shared" si="114"/>
        <v>147635.16739025648</v>
      </c>
      <c r="EG14" s="55">
        <f t="shared" si="115"/>
        <v>0</v>
      </c>
      <c r="EH14" s="33" t="s">
        <v>17</v>
      </c>
      <c r="EI14" s="29" t="s">
        <v>17</v>
      </c>
      <c r="EJ14" s="30">
        <f t="shared" si="42"/>
        <v>2571.6652265161083</v>
      </c>
      <c r="EK14" s="177">
        <f t="shared" si="116"/>
        <v>1.026887630475408</v>
      </c>
      <c r="EL14" s="168">
        <f t="shared" si="117"/>
        <v>0.31782815386858609</v>
      </c>
      <c r="EM14" s="31">
        <f t="shared" si="43"/>
        <v>6.1729809862176799E-2</v>
      </c>
      <c r="EN14" s="32">
        <f t="shared" si="118"/>
        <v>147635.16739025648</v>
      </c>
      <c r="EO14" s="55">
        <f t="shared" si="119"/>
        <v>0</v>
      </c>
      <c r="EP14" s="50" t="s">
        <v>17</v>
      </c>
      <c r="EQ14" s="29" t="s">
        <v>17</v>
      </c>
      <c r="ER14" s="30">
        <f t="shared" si="44"/>
        <v>2571.6652265161083</v>
      </c>
      <c r="ES14" s="177">
        <f t="shared" si="120"/>
        <v>1.026887630475408</v>
      </c>
      <c r="ET14" s="168">
        <f t="shared" si="121"/>
        <v>0.31782815386858609</v>
      </c>
      <c r="EU14" s="31">
        <f t="shared" si="45"/>
        <v>6.1729809862176799E-2</v>
      </c>
      <c r="EV14" s="32">
        <f t="shared" si="122"/>
        <v>147635.16739025648</v>
      </c>
      <c r="EW14" s="55">
        <f t="shared" si="123"/>
        <v>0</v>
      </c>
      <c r="EX14" s="33" t="s">
        <v>17</v>
      </c>
      <c r="EY14" s="29" t="s">
        <v>17</v>
      </c>
      <c r="EZ14" s="30">
        <f t="shared" si="46"/>
        <v>2571.6652265161083</v>
      </c>
      <c r="FA14" s="177">
        <f t="shared" si="124"/>
        <v>1.026887630475408</v>
      </c>
      <c r="FB14" s="168">
        <f t="shared" si="125"/>
        <v>0.31782815386858609</v>
      </c>
      <c r="FC14" s="31">
        <f t="shared" si="47"/>
        <v>6.1729809862176799E-2</v>
      </c>
      <c r="FD14" s="32">
        <f t="shared" si="126"/>
        <v>147635.16739025648</v>
      </c>
      <c r="FE14" s="55">
        <f t="shared" si="127"/>
        <v>0</v>
      </c>
      <c r="FF14" s="50" t="s">
        <v>17</v>
      </c>
      <c r="FG14" s="29" t="s">
        <v>17</v>
      </c>
      <c r="FH14" s="30">
        <f t="shared" si="48"/>
        <v>2571.6652265161083</v>
      </c>
      <c r="FI14" s="177">
        <f t="shared" si="128"/>
        <v>1.026887630475408</v>
      </c>
      <c r="FJ14" s="168">
        <f t="shared" si="129"/>
        <v>0.31782815386858609</v>
      </c>
      <c r="FK14" s="31">
        <f t="shared" si="49"/>
        <v>6.1729809862176799E-2</v>
      </c>
      <c r="FL14" s="32">
        <f t="shared" si="130"/>
        <v>147635.16739025648</v>
      </c>
      <c r="FM14" s="55">
        <f t="shared" si="131"/>
        <v>0</v>
      </c>
      <c r="FN14" s="78">
        <f t="shared" si="132"/>
        <v>1181561.8289850324</v>
      </c>
      <c r="FO14" s="142">
        <f t="shared" si="50"/>
        <v>1481840.291322883</v>
      </c>
      <c r="FP14" s="138" t="s">
        <v>17</v>
      </c>
      <c r="FQ14" s="42">
        <f>'Исходные данные'!I16</f>
        <v>0</v>
      </c>
      <c r="FR14" s="43">
        <f t="shared" si="133"/>
        <v>1481840.291322883</v>
      </c>
      <c r="FS14" s="43">
        <f t="shared" si="134"/>
        <v>1481840.291322883</v>
      </c>
      <c r="FT14" s="43">
        <f t="shared" si="135"/>
        <v>1481840.291322883</v>
      </c>
      <c r="FU14" s="146">
        <v>1481840</v>
      </c>
    </row>
    <row r="15" spans="1:268" ht="22.5" customHeight="1" x14ac:dyDescent="0.2">
      <c r="A15" s="209" t="s">
        <v>138</v>
      </c>
      <c r="B15" s="50" t="s">
        <v>17</v>
      </c>
      <c r="C15" s="29" t="s">
        <v>17</v>
      </c>
      <c r="D15" s="29" t="s">
        <v>17</v>
      </c>
      <c r="E15" s="29" t="s">
        <v>17</v>
      </c>
      <c r="F15" s="51" t="s">
        <v>17</v>
      </c>
      <c r="G15" s="57">
        <f>'Исходные данные'!C17</f>
        <v>698</v>
      </c>
      <c r="H15" s="194">
        <f>'Исходные данные'!D17</f>
        <v>552500</v>
      </c>
      <c r="I15" s="198">
        <f>'Расчет поправочного коэф'!G16</f>
        <v>3.8678571428571424</v>
      </c>
      <c r="J15" s="190">
        <f t="shared" si="9"/>
        <v>219470.54105949705</v>
      </c>
      <c r="K15" s="187">
        <f t="shared" si="10"/>
        <v>1105.9749871912566</v>
      </c>
      <c r="L15" s="173">
        <f t="shared" si="52"/>
        <v>0.68718850173815804</v>
      </c>
      <c r="M15" s="211">
        <f t="shared" si="53"/>
        <v>0.17766646397662444</v>
      </c>
      <c r="N15" s="29" t="s">
        <v>17</v>
      </c>
      <c r="O15" s="31">
        <f t="shared" si="54"/>
        <v>0.1723810627536469</v>
      </c>
      <c r="P15" s="32">
        <f t="shared" si="11"/>
        <v>193648.61598491826</v>
      </c>
      <c r="Q15" s="55">
        <f t="shared" si="55"/>
        <v>193648.61598491826</v>
      </c>
      <c r="R15" s="50" t="s">
        <v>17</v>
      </c>
      <c r="S15" s="29" t="s">
        <v>17</v>
      </c>
      <c r="T15" s="30">
        <f t="shared" si="12"/>
        <v>1383.4085344475866</v>
      </c>
      <c r="U15" s="177">
        <f t="shared" si="56"/>
        <v>0.80704292423638846</v>
      </c>
      <c r="V15" s="168">
        <f t="shared" si="57"/>
        <v>0.20865375695862307</v>
      </c>
      <c r="W15" s="31">
        <f t="shared" si="13"/>
        <v>0.14641983446400528</v>
      </c>
      <c r="X15" s="32">
        <f t="shared" si="58"/>
        <v>175189.93461654184</v>
      </c>
      <c r="Y15" s="55">
        <f t="shared" si="59"/>
        <v>175189.93461654184</v>
      </c>
      <c r="Z15" s="33" t="s">
        <v>17</v>
      </c>
      <c r="AA15" s="29" t="s">
        <v>17</v>
      </c>
      <c r="AB15" s="30">
        <f t="shared" si="14"/>
        <v>1634.3969794569589</v>
      </c>
      <c r="AC15" s="177">
        <f t="shared" si="60"/>
        <v>0.89787135369076843</v>
      </c>
      <c r="AD15" s="168">
        <f t="shared" si="61"/>
        <v>0.23213663807332888</v>
      </c>
      <c r="AE15" s="31">
        <f t="shared" si="15"/>
        <v>0.12744935267035337</v>
      </c>
      <c r="AF15" s="32">
        <f t="shared" si="62"/>
        <v>161933.42136931318</v>
      </c>
      <c r="AG15" s="55">
        <f t="shared" si="63"/>
        <v>161933.42136931318</v>
      </c>
      <c r="AH15" s="50" t="s">
        <v>17</v>
      </c>
      <c r="AI15" s="29" t="s">
        <v>17</v>
      </c>
      <c r="AJ15" s="30">
        <f t="shared" si="16"/>
        <v>1866.3932851436541</v>
      </c>
      <c r="AK15" s="177">
        <f t="shared" si="64"/>
        <v>0.96822674297010369</v>
      </c>
      <c r="AL15" s="168">
        <f t="shared" si="65"/>
        <v>0.25032639707444976</v>
      </c>
      <c r="AM15" s="31">
        <f t="shared" si="17"/>
        <v>0.11332415634820248</v>
      </c>
      <c r="AN15" s="32">
        <f t="shared" si="66"/>
        <v>152476.88343664259</v>
      </c>
      <c r="AO15" s="55">
        <f t="shared" si="67"/>
        <v>152476.88343664259</v>
      </c>
      <c r="AP15" s="50" t="s">
        <v>17</v>
      </c>
      <c r="AQ15" s="29" t="s">
        <v>17</v>
      </c>
      <c r="AR15" s="30">
        <f t="shared" si="18"/>
        <v>2084.8415422162079</v>
      </c>
      <c r="AS15" s="177">
        <f t="shared" si="68"/>
        <v>1.0239538021091679</v>
      </c>
      <c r="AT15" s="168">
        <f t="shared" si="69"/>
        <v>0.26473413166257342</v>
      </c>
      <c r="AU15" s="31">
        <f t="shared" si="19"/>
        <v>0.10259114127639457</v>
      </c>
      <c r="AV15" s="32">
        <f t="shared" si="70"/>
        <v>145800.15073294297</v>
      </c>
      <c r="AW15" s="55">
        <f t="shared" si="71"/>
        <v>145800.15073294297</v>
      </c>
      <c r="AX15" s="50" t="s">
        <v>17</v>
      </c>
      <c r="AY15" s="29" t="s">
        <v>17</v>
      </c>
      <c r="AZ15" s="30">
        <f t="shared" si="20"/>
        <v>2293.724279655954</v>
      </c>
      <c r="BA15" s="177">
        <f t="shared" si="72"/>
        <v>1.069078823563699</v>
      </c>
      <c r="BB15" s="168">
        <f t="shared" si="73"/>
        <v>0.27640080387611798</v>
      </c>
      <c r="BC15" s="31">
        <f t="shared" si="21"/>
        <v>9.4259496753216765E-2</v>
      </c>
      <c r="BD15" s="32">
        <f t="shared" si="74"/>
        <v>141160.12167191677</v>
      </c>
      <c r="BE15" s="55">
        <f t="shared" si="75"/>
        <v>141160.12167191677</v>
      </c>
      <c r="BF15" s="50" t="s">
        <v>17</v>
      </c>
      <c r="BG15" s="29" t="s">
        <v>17</v>
      </c>
      <c r="BH15" s="30">
        <f t="shared" si="22"/>
        <v>2495.9594109910786</v>
      </c>
      <c r="BI15" s="177">
        <f t="shared" si="76"/>
        <v>1.1064003384900227</v>
      </c>
      <c r="BJ15" s="168">
        <f t="shared" si="77"/>
        <v>0.28604994900942421</v>
      </c>
      <c r="BK15" s="31">
        <f t="shared" si="23"/>
        <v>8.7648650121810501E-2</v>
      </c>
      <c r="BL15" s="32">
        <f t="shared" si="78"/>
        <v>138014.86761534528</v>
      </c>
      <c r="BM15" s="55">
        <f t="shared" si="79"/>
        <v>138014.86761534528</v>
      </c>
      <c r="BN15" s="50" t="s">
        <v>17</v>
      </c>
      <c r="BO15" s="29" t="s">
        <v>17</v>
      </c>
      <c r="BP15" s="30">
        <f t="shared" si="24"/>
        <v>2693.6884476892806</v>
      </c>
      <c r="BQ15" s="177">
        <f t="shared" si="80"/>
        <v>1.1378825052027801</v>
      </c>
      <c r="BR15" s="168">
        <f t="shared" si="81"/>
        <v>0.29418938269323958</v>
      </c>
      <c r="BS15" s="31">
        <f t="shared" si="25"/>
        <v>8.2287440849225402E-2</v>
      </c>
      <c r="BT15" s="32">
        <f t="shared" si="82"/>
        <v>135968.6927242534</v>
      </c>
      <c r="BU15" s="55">
        <f t="shared" si="83"/>
        <v>135968.6927242534</v>
      </c>
      <c r="BV15" s="33" t="s">
        <v>17</v>
      </c>
      <c r="BW15" s="29" t="s">
        <v>17</v>
      </c>
      <c r="BX15" s="30">
        <f t="shared" si="26"/>
        <v>2888.486001735489</v>
      </c>
      <c r="BY15" s="177">
        <f t="shared" si="84"/>
        <v>1.1649184005088451</v>
      </c>
      <c r="BZ15" s="168">
        <f t="shared" si="85"/>
        <v>0.30117927252306248</v>
      </c>
      <c r="CA15" s="31">
        <f t="shared" si="27"/>
        <v>7.7846950695948269E-2</v>
      </c>
      <c r="CB15" s="32">
        <f t="shared" si="86"/>
        <v>134732.32067657579</v>
      </c>
      <c r="CC15" s="55">
        <f t="shared" si="87"/>
        <v>29480.961743951473</v>
      </c>
      <c r="CD15" s="50" t="s">
        <v>17</v>
      </c>
      <c r="CE15" s="29" t="s">
        <v>17</v>
      </c>
      <c r="CF15" s="30">
        <f t="shared" si="28"/>
        <v>2930.7223366122107</v>
      </c>
      <c r="CG15" s="177">
        <f t="shared" si="88"/>
        <v>1.1702621650727574</v>
      </c>
      <c r="CH15" s="168">
        <f t="shared" si="89"/>
        <v>0.30256085523580067</v>
      </c>
      <c r="CI15" s="31">
        <f t="shared" si="29"/>
        <v>7.6997108494962219E-2</v>
      </c>
      <c r="CJ15" s="32">
        <f t="shared" si="90"/>
        <v>134592.65147077842</v>
      </c>
      <c r="CK15" s="55">
        <f t="shared" si="91"/>
        <v>0</v>
      </c>
      <c r="CL15" s="33" t="s">
        <v>17</v>
      </c>
      <c r="CM15" s="29" t="s">
        <v>17</v>
      </c>
      <c r="CN15" s="30">
        <f t="shared" si="30"/>
        <v>2930.7223366122107</v>
      </c>
      <c r="CO15" s="177">
        <f t="shared" si="92"/>
        <v>1.1702621650727574</v>
      </c>
      <c r="CP15" s="168">
        <f t="shared" si="93"/>
        <v>0.30256085523580067</v>
      </c>
      <c r="CQ15" s="31">
        <f t="shared" si="31"/>
        <v>7.6997108494962219E-2</v>
      </c>
      <c r="CR15" s="32">
        <f t="shared" si="94"/>
        <v>134592.65147077842</v>
      </c>
      <c r="CS15" s="55">
        <f t="shared" si="95"/>
        <v>0</v>
      </c>
      <c r="CT15" s="50" t="s">
        <v>17</v>
      </c>
      <c r="CU15" s="29" t="s">
        <v>17</v>
      </c>
      <c r="CV15" s="30">
        <f t="shared" si="32"/>
        <v>2930.7223366122107</v>
      </c>
      <c r="CW15" s="177">
        <f t="shared" si="96"/>
        <v>1.1702621650727574</v>
      </c>
      <c r="CX15" s="168">
        <f t="shared" si="97"/>
        <v>0.30256085523580067</v>
      </c>
      <c r="CY15" s="31">
        <f t="shared" si="33"/>
        <v>7.6997108494962219E-2</v>
      </c>
      <c r="CZ15" s="32">
        <f t="shared" si="98"/>
        <v>134592.65147077842</v>
      </c>
      <c r="DA15" s="55">
        <f t="shared" si="99"/>
        <v>0</v>
      </c>
      <c r="DB15" s="33" t="s">
        <v>17</v>
      </c>
      <c r="DC15" s="29" t="s">
        <v>17</v>
      </c>
      <c r="DD15" s="30">
        <f t="shared" si="34"/>
        <v>2930.7223366122107</v>
      </c>
      <c r="DE15" s="177">
        <f t="shared" si="100"/>
        <v>1.1702621650727574</v>
      </c>
      <c r="DF15" s="168">
        <f t="shared" si="101"/>
        <v>0.30256085523580067</v>
      </c>
      <c r="DG15" s="31">
        <f t="shared" si="35"/>
        <v>7.6997108494962219E-2</v>
      </c>
      <c r="DH15" s="32">
        <f t="shared" si="102"/>
        <v>134592.65147077842</v>
      </c>
      <c r="DI15" s="55">
        <f t="shared" si="103"/>
        <v>0</v>
      </c>
      <c r="DJ15" s="50" t="s">
        <v>17</v>
      </c>
      <c r="DK15" s="29" t="s">
        <v>17</v>
      </c>
      <c r="DL15" s="30">
        <f t="shared" si="36"/>
        <v>2930.7223366122107</v>
      </c>
      <c r="DM15" s="177">
        <f t="shared" si="104"/>
        <v>1.1702621650727574</v>
      </c>
      <c r="DN15" s="168">
        <f t="shared" si="105"/>
        <v>0.30256085523580067</v>
      </c>
      <c r="DO15" s="31">
        <f t="shared" si="37"/>
        <v>7.6997108494962219E-2</v>
      </c>
      <c r="DP15" s="32">
        <f t="shared" si="106"/>
        <v>134592.65147077842</v>
      </c>
      <c r="DQ15" s="55">
        <f t="shared" si="107"/>
        <v>0</v>
      </c>
      <c r="DR15" s="33" t="s">
        <v>17</v>
      </c>
      <c r="DS15" s="29" t="s">
        <v>17</v>
      </c>
      <c r="DT15" s="30">
        <f t="shared" si="38"/>
        <v>2930.7223366122107</v>
      </c>
      <c r="DU15" s="177">
        <f t="shared" si="108"/>
        <v>1.1702621650727574</v>
      </c>
      <c r="DV15" s="168">
        <f t="shared" si="109"/>
        <v>0.30256085523580067</v>
      </c>
      <c r="DW15" s="31">
        <f t="shared" si="39"/>
        <v>7.6997108494962219E-2</v>
      </c>
      <c r="DX15" s="32">
        <f t="shared" si="110"/>
        <v>134592.65147077842</v>
      </c>
      <c r="DY15" s="55">
        <f t="shared" si="111"/>
        <v>0</v>
      </c>
      <c r="DZ15" s="50" t="s">
        <v>17</v>
      </c>
      <c r="EA15" s="29" t="s">
        <v>17</v>
      </c>
      <c r="EB15" s="30">
        <f t="shared" si="40"/>
        <v>2930.7223366122107</v>
      </c>
      <c r="EC15" s="177">
        <f t="shared" si="112"/>
        <v>1.1702621650727574</v>
      </c>
      <c r="ED15" s="168">
        <f t="shared" si="113"/>
        <v>0.30256085523580067</v>
      </c>
      <c r="EE15" s="31">
        <f t="shared" si="41"/>
        <v>7.6997108494962219E-2</v>
      </c>
      <c r="EF15" s="32">
        <f t="shared" si="114"/>
        <v>134592.65147077842</v>
      </c>
      <c r="EG15" s="55">
        <f t="shared" si="115"/>
        <v>0</v>
      </c>
      <c r="EH15" s="33" t="s">
        <v>17</v>
      </c>
      <c r="EI15" s="29" t="s">
        <v>17</v>
      </c>
      <c r="EJ15" s="30">
        <f t="shared" si="42"/>
        <v>2930.7223366122107</v>
      </c>
      <c r="EK15" s="177">
        <f t="shared" si="116"/>
        <v>1.1702621650727574</v>
      </c>
      <c r="EL15" s="168">
        <f t="shared" si="117"/>
        <v>0.30256085523580067</v>
      </c>
      <c r="EM15" s="31">
        <f t="shared" si="43"/>
        <v>7.6997108494962219E-2</v>
      </c>
      <c r="EN15" s="32">
        <f t="shared" si="118"/>
        <v>134592.65147077842</v>
      </c>
      <c r="EO15" s="55">
        <f t="shared" si="119"/>
        <v>0</v>
      </c>
      <c r="EP15" s="50" t="s">
        <v>17</v>
      </c>
      <c r="EQ15" s="29" t="s">
        <v>17</v>
      </c>
      <c r="ER15" s="30">
        <f t="shared" si="44"/>
        <v>2930.7223366122107</v>
      </c>
      <c r="ES15" s="177">
        <f t="shared" si="120"/>
        <v>1.1702621650727574</v>
      </c>
      <c r="ET15" s="168">
        <f t="shared" si="121"/>
        <v>0.30256085523580067</v>
      </c>
      <c r="EU15" s="31">
        <f t="shared" si="45"/>
        <v>7.6997108494962219E-2</v>
      </c>
      <c r="EV15" s="32">
        <f t="shared" si="122"/>
        <v>134592.65147077842</v>
      </c>
      <c r="EW15" s="55">
        <f t="shared" si="123"/>
        <v>0</v>
      </c>
      <c r="EX15" s="33" t="s">
        <v>17</v>
      </c>
      <c r="EY15" s="29" t="s">
        <v>17</v>
      </c>
      <c r="EZ15" s="30">
        <f t="shared" si="46"/>
        <v>2930.7223366122107</v>
      </c>
      <c r="FA15" s="177">
        <f t="shared" si="124"/>
        <v>1.1702621650727574</v>
      </c>
      <c r="FB15" s="168">
        <f t="shared" si="125"/>
        <v>0.30256085523580067</v>
      </c>
      <c r="FC15" s="31">
        <f t="shared" si="47"/>
        <v>7.6997108494962219E-2</v>
      </c>
      <c r="FD15" s="32">
        <f t="shared" si="126"/>
        <v>134592.65147077842</v>
      </c>
      <c r="FE15" s="55">
        <f t="shared" si="127"/>
        <v>0</v>
      </c>
      <c r="FF15" s="50" t="s">
        <v>17</v>
      </c>
      <c r="FG15" s="29" t="s">
        <v>17</v>
      </c>
      <c r="FH15" s="30">
        <f t="shared" si="48"/>
        <v>2930.7223366122107</v>
      </c>
      <c r="FI15" s="177">
        <f t="shared" si="128"/>
        <v>1.1702621650727574</v>
      </c>
      <c r="FJ15" s="168">
        <f t="shared" si="129"/>
        <v>0.30256085523580067</v>
      </c>
      <c r="FK15" s="31">
        <f t="shared" si="49"/>
        <v>7.6997108494962219E-2</v>
      </c>
      <c r="FL15" s="32">
        <f t="shared" si="130"/>
        <v>134592.65147077842</v>
      </c>
      <c r="FM15" s="55">
        <f t="shared" si="131"/>
        <v>0</v>
      </c>
      <c r="FN15" s="78">
        <f t="shared" si="132"/>
        <v>1273673.6498958261</v>
      </c>
      <c r="FO15" s="142">
        <f t="shared" si="50"/>
        <v>1493144.1909553232</v>
      </c>
      <c r="FP15" s="138" t="s">
        <v>17</v>
      </c>
      <c r="FQ15" s="42">
        <f>'Исходные данные'!I17</f>
        <v>0</v>
      </c>
      <c r="FR15" s="43">
        <f t="shared" si="133"/>
        <v>1493144.1909553232</v>
      </c>
      <c r="FS15" s="43">
        <f t="shared" si="134"/>
        <v>1493144.1909553232</v>
      </c>
      <c r="FT15" s="43">
        <f t="shared" si="135"/>
        <v>1493144.1909553232</v>
      </c>
      <c r="FU15" s="146">
        <v>1493144</v>
      </c>
    </row>
    <row r="16" spans="1:268" ht="22.5" customHeight="1" x14ac:dyDescent="0.2">
      <c r="A16" s="209" t="s">
        <v>139</v>
      </c>
      <c r="B16" s="50" t="s">
        <v>17</v>
      </c>
      <c r="C16" s="29" t="s">
        <v>17</v>
      </c>
      <c r="D16" s="29" t="s">
        <v>17</v>
      </c>
      <c r="E16" s="29" t="s">
        <v>17</v>
      </c>
      <c r="F16" s="51" t="s">
        <v>17</v>
      </c>
      <c r="G16" s="57">
        <f>'Исходные данные'!C18</f>
        <v>907</v>
      </c>
      <c r="H16" s="194">
        <f>'Исходные данные'!D18</f>
        <v>1051000</v>
      </c>
      <c r="I16" s="198">
        <f>'Расчет поправочного коэф'!G17</f>
        <v>3.1238095238095238</v>
      </c>
      <c r="J16" s="190">
        <f t="shared" si="9"/>
        <v>285185.93229364447</v>
      </c>
      <c r="K16" s="187">
        <f t="shared" si="10"/>
        <v>1473.1928691219894</v>
      </c>
      <c r="L16" s="173">
        <f t="shared" si="52"/>
        <v>0.91535632562023794</v>
      </c>
      <c r="M16" s="211">
        <f t="shared" si="53"/>
        <v>0.29302565301867373</v>
      </c>
      <c r="N16" s="29" t="s">
        <v>17</v>
      </c>
      <c r="O16" s="31">
        <f t="shared" si="54"/>
        <v>5.7021873711597615E-2</v>
      </c>
      <c r="P16" s="32">
        <f t="shared" si="11"/>
        <v>83237.33977020868</v>
      </c>
      <c r="Q16" s="55">
        <f t="shared" si="55"/>
        <v>83237.33977020868</v>
      </c>
      <c r="R16" s="50" t="s">
        <v>17</v>
      </c>
      <c r="S16" s="29" t="s">
        <v>17</v>
      </c>
      <c r="T16" s="30">
        <f t="shared" si="12"/>
        <v>1564.9650188135095</v>
      </c>
      <c r="U16" s="177">
        <f t="shared" si="56"/>
        <v>0.91295804071010711</v>
      </c>
      <c r="V16" s="168">
        <f t="shared" si="57"/>
        <v>0.29225790937366236</v>
      </c>
      <c r="W16" s="31">
        <f t="shared" si="13"/>
        <v>6.2815682048965982E-2</v>
      </c>
      <c r="X16" s="32">
        <f t="shared" si="58"/>
        <v>97662.802642621871</v>
      </c>
      <c r="Y16" s="55">
        <f t="shared" si="59"/>
        <v>97662.802642621871</v>
      </c>
      <c r="Z16" s="33" t="s">
        <v>17</v>
      </c>
      <c r="AA16" s="29" t="s">
        <v>17</v>
      </c>
      <c r="AB16" s="30">
        <f t="shared" si="14"/>
        <v>1672.6417582210306</v>
      </c>
      <c r="AC16" s="177">
        <f t="shared" si="60"/>
        <v>0.91888148263258174</v>
      </c>
      <c r="AD16" s="168">
        <f t="shared" si="61"/>
        <v>0.29415413315982036</v>
      </c>
      <c r="AE16" s="31">
        <f t="shared" si="15"/>
        <v>6.5431857583861885E-2</v>
      </c>
      <c r="AF16" s="32">
        <f t="shared" si="62"/>
        <v>108028.9045528039</v>
      </c>
      <c r="AG16" s="55">
        <f t="shared" si="63"/>
        <v>108028.9045528039</v>
      </c>
      <c r="AH16" s="50" t="s">
        <v>17</v>
      </c>
      <c r="AI16" s="29" t="s">
        <v>17</v>
      </c>
      <c r="AJ16" s="30">
        <f t="shared" si="16"/>
        <v>1791.7474964269886</v>
      </c>
      <c r="AK16" s="177">
        <f t="shared" si="64"/>
        <v>0.92950283120891841</v>
      </c>
      <c r="AL16" s="168">
        <f t="shared" si="65"/>
        <v>0.29755425999065988</v>
      </c>
      <c r="AM16" s="31">
        <f t="shared" si="17"/>
        <v>6.6096293431992359E-2</v>
      </c>
      <c r="AN16" s="32">
        <f t="shared" si="66"/>
        <v>115560.78467253713</v>
      </c>
      <c r="AO16" s="55">
        <f t="shared" si="67"/>
        <v>115560.78467253713</v>
      </c>
      <c r="AP16" s="50" t="s">
        <v>17</v>
      </c>
      <c r="AQ16" s="29" t="s">
        <v>17</v>
      </c>
      <c r="AR16" s="30">
        <f t="shared" si="18"/>
        <v>1919.1574023504033</v>
      </c>
      <c r="AS16" s="177">
        <f t="shared" si="68"/>
        <v>0.94257931799157157</v>
      </c>
      <c r="AT16" s="168">
        <f t="shared" si="69"/>
        <v>0.30174033045461895</v>
      </c>
      <c r="AU16" s="31">
        <f t="shared" si="19"/>
        <v>6.558494248434904E-2</v>
      </c>
      <c r="AV16" s="32">
        <f t="shared" si="70"/>
        <v>121116.72480213415</v>
      </c>
      <c r="AW16" s="55">
        <f t="shared" si="71"/>
        <v>121116.72480213415</v>
      </c>
      <c r="AX16" s="50" t="s">
        <v>17</v>
      </c>
      <c r="AY16" s="29" t="s">
        <v>17</v>
      </c>
      <c r="AZ16" s="30">
        <f t="shared" si="20"/>
        <v>2052.6929313494484</v>
      </c>
      <c r="BA16" s="177">
        <f t="shared" si="72"/>
        <v>0.95673685091468375</v>
      </c>
      <c r="BB16" s="168">
        <f t="shared" si="73"/>
        <v>0.30627246751842008</v>
      </c>
      <c r="BC16" s="31">
        <f t="shared" si="21"/>
        <v>6.4387833110914672E-2</v>
      </c>
      <c r="BD16" s="32">
        <f t="shared" si="74"/>
        <v>125297.55066625521</v>
      </c>
      <c r="BE16" s="55">
        <f t="shared" si="75"/>
        <v>125297.55066625521</v>
      </c>
      <c r="BF16" s="50" t="s">
        <v>17</v>
      </c>
      <c r="BG16" s="29" t="s">
        <v>17</v>
      </c>
      <c r="BH16" s="30">
        <f t="shared" si="22"/>
        <v>2190.8379706727728</v>
      </c>
      <c r="BI16" s="177">
        <f t="shared" si="76"/>
        <v>0.97114715153427411</v>
      </c>
      <c r="BJ16" s="168">
        <f t="shared" si="77"/>
        <v>0.31088552107042311</v>
      </c>
      <c r="BK16" s="31">
        <f t="shared" si="23"/>
        <v>6.28130780608116E-2</v>
      </c>
      <c r="BL16" s="32">
        <f t="shared" si="78"/>
        <v>128523.51115020621</v>
      </c>
      <c r="BM16" s="55">
        <f t="shared" si="79"/>
        <v>128523.51115020621</v>
      </c>
      <c r="BN16" s="50" t="s">
        <v>17</v>
      </c>
      <c r="BO16" s="29" t="s">
        <v>17</v>
      </c>
      <c r="BP16" s="30">
        <f t="shared" si="24"/>
        <v>2332.5397470236071</v>
      </c>
      <c r="BQ16" s="177">
        <f t="shared" si="80"/>
        <v>0.98532410944000914</v>
      </c>
      <c r="BR16" s="168">
        <f t="shared" si="81"/>
        <v>0.31542387649756393</v>
      </c>
      <c r="BS16" s="31">
        <f t="shared" si="25"/>
        <v>6.1052947044901051E-2</v>
      </c>
      <c r="BT16" s="32">
        <f t="shared" si="82"/>
        <v>131088.27931008165</v>
      </c>
      <c r="BU16" s="55">
        <f t="shared" si="83"/>
        <v>131088.27931008165</v>
      </c>
      <c r="BV16" s="33" t="s">
        <v>17</v>
      </c>
      <c r="BW16" s="29" t="s">
        <v>17</v>
      </c>
      <c r="BX16" s="30">
        <f t="shared" si="26"/>
        <v>2477.0692721725391</v>
      </c>
      <c r="BY16" s="177">
        <f t="shared" si="84"/>
        <v>0.99899517351134748</v>
      </c>
      <c r="BZ16" s="168">
        <f t="shared" si="85"/>
        <v>0.31980028420332768</v>
      </c>
      <c r="CA16" s="31">
        <f t="shared" si="27"/>
        <v>5.9225939015683071E-2</v>
      </c>
      <c r="CB16" s="32">
        <f t="shared" si="86"/>
        <v>133196.86530020024</v>
      </c>
      <c r="CC16" s="55">
        <f t="shared" si="87"/>
        <v>29144.986671428716</v>
      </c>
      <c r="CD16" s="50" t="s">
        <v>17</v>
      </c>
      <c r="CE16" s="29" t="s">
        <v>17</v>
      </c>
      <c r="CF16" s="30">
        <f t="shared" si="28"/>
        <v>2509.2026643130339</v>
      </c>
      <c r="CG16" s="177">
        <f t="shared" si="88"/>
        <v>1.0019458021873486</v>
      </c>
      <c r="CH16" s="168">
        <f t="shared" si="89"/>
        <v>0.32074484521241342</v>
      </c>
      <c r="CI16" s="31">
        <f t="shared" si="29"/>
        <v>5.8813118518349472E-2</v>
      </c>
      <c r="CJ16" s="32">
        <f t="shared" si="90"/>
        <v>133589.70940153944</v>
      </c>
      <c r="CK16" s="55">
        <f t="shared" si="91"/>
        <v>0</v>
      </c>
      <c r="CL16" s="33" t="s">
        <v>17</v>
      </c>
      <c r="CM16" s="29" t="s">
        <v>17</v>
      </c>
      <c r="CN16" s="30">
        <f t="shared" si="30"/>
        <v>2509.2026643130339</v>
      </c>
      <c r="CO16" s="177">
        <f t="shared" si="92"/>
        <v>1.0019458021873486</v>
      </c>
      <c r="CP16" s="168">
        <f t="shared" si="93"/>
        <v>0.32074484521241342</v>
      </c>
      <c r="CQ16" s="31">
        <f t="shared" si="31"/>
        <v>5.8813118518349472E-2</v>
      </c>
      <c r="CR16" s="32">
        <f t="shared" si="94"/>
        <v>133589.70940153944</v>
      </c>
      <c r="CS16" s="55">
        <f t="shared" si="95"/>
        <v>0</v>
      </c>
      <c r="CT16" s="50" t="s">
        <v>17</v>
      </c>
      <c r="CU16" s="29" t="s">
        <v>17</v>
      </c>
      <c r="CV16" s="30">
        <f t="shared" si="32"/>
        <v>2509.2026643130339</v>
      </c>
      <c r="CW16" s="177">
        <f t="shared" si="96"/>
        <v>1.0019458021873486</v>
      </c>
      <c r="CX16" s="168">
        <f t="shared" si="97"/>
        <v>0.32074484521241342</v>
      </c>
      <c r="CY16" s="31">
        <f t="shared" si="33"/>
        <v>5.8813118518349472E-2</v>
      </c>
      <c r="CZ16" s="32">
        <f t="shared" si="98"/>
        <v>133589.70940153944</v>
      </c>
      <c r="DA16" s="55">
        <f t="shared" si="99"/>
        <v>0</v>
      </c>
      <c r="DB16" s="33" t="s">
        <v>17</v>
      </c>
      <c r="DC16" s="29" t="s">
        <v>17</v>
      </c>
      <c r="DD16" s="30">
        <f t="shared" si="34"/>
        <v>2509.2026643130339</v>
      </c>
      <c r="DE16" s="177">
        <f t="shared" si="100"/>
        <v>1.0019458021873486</v>
      </c>
      <c r="DF16" s="168">
        <f t="shared" si="101"/>
        <v>0.32074484521241342</v>
      </c>
      <c r="DG16" s="31">
        <f t="shared" si="35"/>
        <v>5.8813118518349472E-2</v>
      </c>
      <c r="DH16" s="32">
        <f t="shared" si="102"/>
        <v>133589.70940153944</v>
      </c>
      <c r="DI16" s="55">
        <f t="shared" si="103"/>
        <v>0</v>
      </c>
      <c r="DJ16" s="50" t="s">
        <v>17</v>
      </c>
      <c r="DK16" s="29" t="s">
        <v>17</v>
      </c>
      <c r="DL16" s="30">
        <f t="shared" si="36"/>
        <v>2509.2026643130339</v>
      </c>
      <c r="DM16" s="177">
        <f t="shared" si="104"/>
        <v>1.0019458021873486</v>
      </c>
      <c r="DN16" s="168">
        <f t="shared" si="105"/>
        <v>0.32074484521241342</v>
      </c>
      <c r="DO16" s="31">
        <f t="shared" si="37"/>
        <v>5.8813118518349472E-2</v>
      </c>
      <c r="DP16" s="32">
        <f t="shared" si="106"/>
        <v>133589.70940153944</v>
      </c>
      <c r="DQ16" s="55">
        <f t="shared" si="107"/>
        <v>0</v>
      </c>
      <c r="DR16" s="33" t="s">
        <v>17</v>
      </c>
      <c r="DS16" s="29" t="s">
        <v>17</v>
      </c>
      <c r="DT16" s="30">
        <f t="shared" si="38"/>
        <v>2509.2026643130339</v>
      </c>
      <c r="DU16" s="177">
        <f t="shared" si="108"/>
        <v>1.0019458021873486</v>
      </c>
      <c r="DV16" s="168">
        <f t="shared" si="109"/>
        <v>0.32074484521241342</v>
      </c>
      <c r="DW16" s="31">
        <f t="shared" si="39"/>
        <v>5.8813118518349472E-2</v>
      </c>
      <c r="DX16" s="32">
        <f t="shared" si="110"/>
        <v>133589.70940153944</v>
      </c>
      <c r="DY16" s="55">
        <f t="shared" si="111"/>
        <v>0</v>
      </c>
      <c r="DZ16" s="50" t="s">
        <v>17</v>
      </c>
      <c r="EA16" s="29" t="s">
        <v>17</v>
      </c>
      <c r="EB16" s="30">
        <f t="shared" si="40"/>
        <v>2509.2026643130339</v>
      </c>
      <c r="EC16" s="177">
        <f t="shared" si="112"/>
        <v>1.0019458021873486</v>
      </c>
      <c r="ED16" s="168">
        <f t="shared" si="113"/>
        <v>0.32074484521241342</v>
      </c>
      <c r="EE16" s="31">
        <f t="shared" si="41"/>
        <v>5.8813118518349472E-2</v>
      </c>
      <c r="EF16" s="32">
        <f t="shared" si="114"/>
        <v>133589.70940153944</v>
      </c>
      <c r="EG16" s="55">
        <f t="shared" si="115"/>
        <v>0</v>
      </c>
      <c r="EH16" s="33" t="s">
        <v>17</v>
      </c>
      <c r="EI16" s="29" t="s">
        <v>17</v>
      </c>
      <c r="EJ16" s="30">
        <f t="shared" si="42"/>
        <v>2509.2026643130339</v>
      </c>
      <c r="EK16" s="177">
        <f t="shared" si="116"/>
        <v>1.0019458021873486</v>
      </c>
      <c r="EL16" s="168">
        <f t="shared" si="117"/>
        <v>0.32074484521241342</v>
      </c>
      <c r="EM16" s="31">
        <f t="shared" si="43"/>
        <v>5.8813118518349472E-2</v>
      </c>
      <c r="EN16" s="32">
        <f t="shared" si="118"/>
        <v>133589.70940153944</v>
      </c>
      <c r="EO16" s="55">
        <f t="shared" si="119"/>
        <v>0</v>
      </c>
      <c r="EP16" s="50" t="s">
        <v>17</v>
      </c>
      <c r="EQ16" s="29" t="s">
        <v>17</v>
      </c>
      <c r="ER16" s="30">
        <f t="shared" si="44"/>
        <v>2509.2026643130339</v>
      </c>
      <c r="ES16" s="177">
        <f t="shared" si="120"/>
        <v>1.0019458021873486</v>
      </c>
      <c r="ET16" s="168">
        <f t="shared" si="121"/>
        <v>0.32074484521241342</v>
      </c>
      <c r="EU16" s="31">
        <f t="shared" si="45"/>
        <v>5.8813118518349472E-2</v>
      </c>
      <c r="EV16" s="32">
        <f t="shared" si="122"/>
        <v>133589.70940153944</v>
      </c>
      <c r="EW16" s="55">
        <f t="shared" si="123"/>
        <v>0</v>
      </c>
      <c r="EX16" s="33" t="s">
        <v>17</v>
      </c>
      <c r="EY16" s="29" t="s">
        <v>17</v>
      </c>
      <c r="EZ16" s="30">
        <f t="shared" si="46"/>
        <v>2509.2026643130339</v>
      </c>
      <c r="FA16" s="177">
        <f t="shared" si="124"/>
        <v>1.0019458021873486</v>
      </c>
      <c r="FB16" s="168">
        <f t="shared" si="125"/>
        <v>0.32074484521241342</v>
      </c>
      <c r="FC16" s="31">
        <f t="shared" si="47"/>
        <v>5.8813118518349472E-2</v>
      </c>
      <c r="FD16" s="32">
        <f t="shared" si="126"/>
        <v>133589.70940153944</v>
      </c>
      <c r="FE16" s="55">
        <f t="shared" si="127"/>
        <v>0</v>
      </c>
      <c r="FF16" s="50" t="s">
        <v>17</v>
      </c>
      <c r="FG16" s="29" t="s">
        <v>17</v>
      </c>
      <c r="FH16" s="30">
        <f t="shared" si="48"/>
        <v>2509.2026643130339</v>
      </c>
      <c r="FI16" s="177">
        <f t="shared" si="128"/>
        <v>1.0019458021873486</v>
      </c>
      <c r="FJ16" s="168">
        <f t="shared" si="129"/>
        <v>0.32074484521241342</v>
      </c>
      <c r="FK16" s="31">
        <f t="shared" si="49"/>
        <v>5.8813118518349472E-2</v>
      </c>
      <c r="FL16" s="32">
        <f t="shared" si="130"/>
        <v>133589.70940153944</v>
      </c>
      <c r="FM16" s="55">
        <f t="shared" si="131"/>
        <v>0</v>
      </c>
      <c r="FN16" s="78">
        <f t="shared" si="132"/>
        <v>939660.88423827733</v>
      </c>
      <c r="FO16" s="142">
        <f t="shared" si="50"/>
        <v>1224846.8165319217</v>
      </c>
      <c r="FP16" s="138" t="s">
        <v>17</v>
      </c>
      <c r="FQ16" s="42">
        <f>'Исходные данные'!I18</f>
        <v>0</v>
      </c>
      <c r="FR16" s="43">
        <f t="shared" si="133"/>
        <v>1224846.8165319217</v>
      </c>
      <c r="FS16" s="43">
        <f t="shared" si="134"/>
        <v>1224846.8165319217</v>
      </c>
      <c r="FT16" s="43">
        <f t="shared" si="135"/>
        <v>1224846.8165319217</v>
      </c>
      <c r="FU16" s="146">
        <v>1224847</v>
      </c>
    </row>
    <row r="17" spans="1:177" ht="22.5" customHeight="1" x14ac:dyDescent="0.2">
      <c r="A17" s="209" t="s">
        <v>140</v>
      </c>
      <c r="B17" s="50" t="s">
        <v>17</v>
      </c>
      <c r="C17" s="29" t="s">
        <v>17</v>
      </c>
      <c r="D17" s="29" t="s">
        <v>17</v>
      </c>
      <c r="E17" s="29" t="s">
        <v>17</v>
      </c>
      <c r="F17" s="51" t="s">
        <v>17</v>
      </c>
      <c r="G17" s="57">
        <f>'Исходные данные'!C19</f>
        <v>1184</v>
      </c>
      <c r="H17" s="194">
        <f>'Исходные данные'!D19</f>
        <v>1219600</v>
      </c>
      <c r="I17" s="198">
        <f>'Расчет поправочного коэф'!G18</f>
        <v>4</v>
      </c>
      <c r="J17" s="190">
        <f t="shared" si="9"/>
        <v>372282.40775708389</v>
      </c>
      <c r="K17" s="187">
        <f t="shared" si="10"/>
        <v>1344.4952768218614</v>
      </c>
      <c r="L17" s="173">
        <f t="shared" si="52"/>
        <v>0.83539113051701497</v>
      </c>
      <c r="M17" s="211">
        <f t="shared" si="53"/>
        <v>0.20884778262925374</v>
      </c>
      <c r="N17" s="29" t="s">
        <v>17</v>
      </c>
      <c r="O17" s="31">
        <f t="shared" si="54"/>
        <v>0.1411997441010176</v>
      </c>
      <c r="P17" s="32">
        <f t="shared" si="11"/>
        <v>269063.65222611598</v>
      </c>
      <c r="Q17" s="55">
        <f t="shared" si="55"/>
        <v>269063.65222611598</v>
      </c>
      <c r="R17" s="50" t="s">
        <v>17</v>
      </c>
      <c r="S17" s="29" t="s">
        <v>17</v>
      </c>
      <c r="T17" s="30">
        <f t="shared" si="12"/>
        <v>1571.7449830939188</v>
      </c>
      <c r="U17" s="177">
        <f t="shared" si="56"/>
        <v>0.91691328752464607</v>
      </c>
      <c r="V17" s="168">
        <f t="shared" si="57"/>
        <v>0.22922832188116152</v>
      </c>
      <c r="W17" s="31">
        <f t="shared" si="13"/>
        <v>0.12584526954146683</v>
      </c>
      <c r="X17" s="32">
        <f t="shared" si="58"/>
        <v>255412.65647153309</v>
      </c>
      <c r="Y17" s="55">
        <f t="shared" si="59"/>
        <v>255412.65647153309</v>
      </c>
      <c r="Z17" s="33" t="s">
        <v>17</v>
      </c>
      <c r="AA17" s="29" t="s">
        <v>17</v>
      </c>
      <c r="AB17" s="30">
        <f t="shared" si="14"/>
        <v>1787.4651321408219</v>
      </c>
      <c r="AC17" s="177">
        <f t="shared" si="60"/>
        <v>0.98196078311621271</v>
      </c>
      <c r="AD17" s="168">
        <f t="shared" si="61"/>
        <v>0.24549019577905318</v>
      </c>
      <c r="AE17" s="31">
        <f t="shared" si="15"/>
        <v>0.11409579496462907</v>
      </c>
      <c r="AF17" s="32">
        <f t="shared" si="62"/>
        <v>245903.53742838593</v>
      </c>
      <c r="AG17" s="55">
        <f t="shared" si="63"/>
        <v>245903.53742838593</v>
      </c>
      <c r="AH17" s="50" t="s">
        <v>17</v>
      </c>
      <c r="AI17" s="29" t="s">
        <v>17</v>
      </c>
      <c r="AJ17" s="30">
        <f t="shared" si="16"/>
        <v>1995.1539306445263</v>
      </c>
      <c r="AK17" s="177">
        <f t="shared" si="64"/>
        <v>1.0350237580517572</v>
      </c>
      <c r="AL17" s="168">
        <f t="shared" si="65"/>
        <v>0.25875593951293929</v>
      </c>
      <c r="AM17" s="31">
        <f t="shared" si="17"/>
        <v>0.10489461390971294</v>
      </c>
      <c r="AN17" s="32">
        <f t="shared" si="66"/>
        <v>239403.76744682144</v>
      </c>
      <c r="AO17" s="55">
        <f t="shared" si="67"/>
        <v>239403.76744682144</v>
      </c>
      <c r="AP17" s="50" t="s">
        <v>17</v>
      </c>
      <c r="AQ17" s="29" t="s">
        <v>17</v>
      </c>
      <c r="AR17" s="30">
        <f t="shared" si="18"/>
        <v>2197.3530585556932</v>
      </c>
      <c r="AS17" s="177">
        <f t="shared" si="68"/>
        <v>1.0792129633471093</v>
      </c>
      <c r="AT17" s="168">
        <f t="shared" si="69"/>
        <v>0.26980324083677731</v>
      </c>
      <c r="AU17" s="31">
        <f t="shared" si="19"/>
        <v>9.7522032102190681E-2</v>
      </c>
      <c r="AV17" s="32">
        <f t="shared" si="70"/>
        <v>235097.02521031786</v>
      </c>
      <c r="AW17" s="55">
        <f t="shared" si="71"/>
        <v>235097.02521031786</v>
      </c>
      <c r="AX17" s="50" t="s">
        <v>17</v>
      </c>
      <c r="AY17" s="29" t="s">
        <v>17</v>
      </c>
      <c r="AZ17" s="30">
        <f t="shared" si="20"/>
        <v>2395.9147352535965</v>
      </c>
      <c r="BA17" s="177">
        <f t="shared" si="72"/>
        <v>1.1167086337456589</v>
      </c>
      <c r="BB17" s="168">
        <f t="shared" si="73"/>
        <v>0.27917715843641472</v>
      </c>
      <c r="BC17" s="31">
        <f t="shared" si="21"/>
        <v>9.1483142192920031E-2</v>
      </c>
      <c r="BD17" s="32">
        <f t="shared" si="74"/>
        <v>232393.65158644479</v>
      </c>
      <c r="BE17" s="55">
        <f t="shared" si="75"/>
        <v>232393.65158644479</v>
      </c>
      <c r="BF17" s="50" t="s">
        <v>17</v>
      </c>
      <c r="BG17" s="29" t="s">
        <v>17</v>
      </c>
      <c r="BH17" s="30">
        <f t="shared" si="22"/>
        <v>2592.1931572016074</v>
      </c>
      <c r="BI17" s="177">
        <f t="shared" si="76"/>
        <v>1.1490585038883192</v>
      </c>
      <c r="BJ17" s="168">
        <f t="shared" si="77"/>
        <v>0.2872646259720798</v>
      </c>
      <c r="BK17" s="31">
        <f t="shared" si="23"/>
        <v>8.6433973159154909E-2</v>
      </c>
      <c r="BL17" s="32">
        <f t="shared" si="78"/>
        <v>230866.75462514773</v>
      </c>
      <c r="BM17" s="55">
        <f t="shared" si="79"/>
        <v>230866.75462514773</v>
      </c>
      <c r="BN17" s="50" t="s">
        <v>17</v>
      </c>
      <c r="BO17" s="29" t="s">
        <v>17</v>
      </c>
      <c r="BP17" s="30">
        <f t="shared" si="24"/>
        <v>2787.1819702296038</v>
      </c>
      <c r="BQ17" s="177">
        <f t="shared" si="80"/>
        <v>1.1773765468168633</v>
      </c>
      <c r="BR17" s="168">
        <f t="shared" si="81"/>
        <v>0.29434413670421583</v>
      </c>
      <c r="BS17" s="31">
        <f t="shared" si="25"/>
        <v>8.2132686838249147E-2</v>
      </c>
      <c r="BT17" s="32">
        <f t="shared" si="82"/>
        <v>230206.54992366236</v>
      </c>
      <c r="BU17" s="55">
        <f t="shared" si="83"/>
        <v>230206.54992366236</v>
      </c>
      <c r="BV17" s="33" t="s">
        <v>17</v>
      </c>
      <c r="BW17" s="29" t="s">
        <v>17</v>
      </c>
      <c r="BX17" s="30">
        <f t="shared" si="26"/>
        <v>2981.6131779353996</v>
      </c>
      <c r="BY17" s="177">
        <f t="shared" si="84"/>
        <v>1.2024763326149808</v>
      </c>
      <c r="BZ17" s="168">
        <f t="shared" si="85"/>
        <v>0.30061908315374519</v>
      </c>
      <c r="CA17" s="31">
        <f t="shared" si="27"/>
        <v>7.8407140065265557E-2</v>
      </c>
      <c r="CB17" s="32">
        <f t="shared" si="86"/>
        <v>230187.68085060382</v>
      </c>
      <c r="CC17" s="55">
        <f t="shared" si="87"/>
        <v>50367.678512535153</v>
      </c>
      <c r="CD17" s="50" t="s">
        <v>17</v>
      </c>
      <c r="CE17" s="29" t="s">
        <v>17</v>
      </c>
      <c r="CF17" s="30">
        <f t="shared" si="28"/>
        <v>3024.1534469493649</v>
      </c>
      <c r="CG17" s="177">
        <f t="shared" si="88"/>
        <v>1.2075699960134056</v>
      </c>
      <c r="CH17" s="168">
        <f t="shared" si="89"/>
        <v>0.30189249900335141</v>
      </c>
      <c r="CI17" s="31">
        <f t="shared" si="29"/>
        <v>7.7665464727411482E-2</v>
      </c>
      <c r="CJ17" s="32">
        <f t="shared" si="90"/>
        <v>230287.92022775178</v>
      </c>
      <c r="CK17" s="55">
        <f t="shared" si="91"/>
        <v>0</v>
      </c>
      <c r="CL17" s="33" t="s">
        <v>17</v>
      </c>
      <c r="CM17" s="29" t="s">
        <v>17</v>
      </c>
      <c r="CN17" s="30">
        <f t="shared" si="30"/>
        <v>3024.1534469493649</v>
      </c>
      <c r="CO17" s="177">
        <f t="shared" si="92"/>
        <v>1.2075699960134056</v>
      </c>
      <c r="CP17" s="168">
        <f t="shared" si="93"/>
        <v>0.30189249900335141</v>
      </c>
      <c r="CQ17" s="31">
        <f t="shared" si="31"/>
        <v>7.7665464727411482E-2</v>
      </c>
      <c r="CR17" s="32">
        <f t="shared" si="94"/>
        <v>230287.92022775178</v>
      </c>
      <c r="CS17" s="55">
        <f t="shared" si="95"/>
        <v>0</v>
      </c>
      <c r="CT17" s="50" t="s">
        <v>17</v>
      </c>
      <c r="CU17" s="29" t="s">
        <v>17</v>
      </c>
      <c r="CV17" s="30">
        <f t="shared" si="32"/>
        <v>3024.1534469493649</v>
      </c>
      <c r="CW17" s="177">
        <f t="shared" si="96"/>
        <v>1.2075699960134056</v>
      </c>
      <c r="CX17" s="168">
        <f t="shared" si="97"/>
        <v>0.30189249900335141</v>
      </c>
      <c r="CY17" s="31">
        <f t="shared" si="33"/>
        <v>7.7665464727411482E-2</v>
      </c>
      <c r="CZ17" s="32">
        <f t="shared" si="98"/>
        <v>230287.92022775178</v>
      </c>
      <c r="DA17" s="55">
        <f t="shared" si="99"/>
        <v>0</v>
      </c>
      <c r="DB17" s="33" t="s">
        <v>17</v>
      </c>
      <c r="DC17" s="29" t="s">
        <v>17</v>
      </c>
      <c r="DD17" s="30">
        <f t="shared" si="34"/>
        <v>3024.1534469493649</v>
      </c>
      <c r="DE17" s="177">
        <f t="shared" si="100"/>
        <v>1.2075699960134056</v>
      </c>
      <c r="DF17" s="168">
        <f t="shared" si="101"/>
        <v>0.30189249900335141</v>
      </c>
      <c r="DG17" s="31">
        <f t="shared" si="35"/>
        <v>7.7665464727411482E-2</v>
      </c>
      <c r="DH17" s="32">
        <f t="shared" si="102"/>
        <v>230287.92022775178</v>
      </c>
      <c r="DI17" s="55">
        <f t="shared" si="103"/>
        <v>0</v>
      </c>
      <c r="DJ17" s="50" t="s">
        <v>17</v>
      </c>
      <c r="DK17" s="29" t="s">
        <v>17</v>
      </c>
      <c r="DL17" s="30">
        <f t="shared" si="36"/>
        <v>3024.1534469493649</v>
      </c>
      <c r="DM17" s="177">
        <f t="shared" si="104"/>
        <v>1.2075699960134056</v>
      </c>
      <c r="DN17" s="168">
        <f t="shared" si="105"/>
        <v>0.30189249900335141</v>
      </c>
      <c r="DO17" s="31">
        <f t="shared" si="37"/>
        <v>7.7665464727411482E-2</v>
      </c>
      <c r="DP17" s="32">
        <f t="shared" si="106"/>
        <v>230287.92022775178</v>
      </c>
      <c r="DQ17" s="55">
        <f t="shared" si="107"/>
        <v>0</v>
      </c>
      <c r="DR17" s="33" t="s">
        <v>17</v>
      </c>
      <c r="DS17" s="29" t="s">
        <v>17</v>
      </c>
      <c r="DT17" s="30">
        <f t="shared" si="38"/>
        <v>3024.1534469493649</v>
      </c>
      <c r="DU17" s="177">
        <f t="shared" si="108"/>
        <v>1.2075699960134056</v>
      </c>
      <c r="DV17" s="168">
        <f t="shared" si="109"/>
        <v>0.30189249900335141</v>
      </c>
      <c r="DW17" s="31">
        <f t="shared" si="39"/>
        <v>7.7665464727411482E-2</v>
      </c>
      <c r="DX17" s="32">
        <f t="shared" si="110"/>
        <v>230287.92022775178</v>
      </c>
      <c r="DY17" s="55">
        <f t="shared" si="111"/>
        <v>0</v>
      </c>
      <c r="DZ17" s="50" t="s">
        <v>17</v>
      </c>
      <c r="EA17" s="29" t="s">
        <v>17</v>
      </c>
      <c r="EB17" s="30">
        <f t="shared" si="40"/>
        <v>3024.1534469493649</v>
      </c>
      <c r="EC17" s="177">
        <f t="shared" si="112"/>
        <v>1.2075699960134056</v>
      </c>
      <c r="ED17" s="168">
        <f t="shared" si="113"/>
        <v>0.30189249900335141</v>
      </c>
      <c r="EE17" s="31">
        <f t="shared" si="41"/>
        <v>7.7665464727411482E-2</v>
      </c>
      <c r="EF17" s="32">
        <f t="shared" si="114"/>
        <v>230287.92022775178</v>
      </c>
      <c r="EG17" s="55">
        <f t="shared" si="115"/>
        <v>0</v>
      </c>
      <c r="EH17" s="33" t="s">
        <v>17</v>
      </c>
      <c r="EI17" s="29" t="s">
        <v>17</v>
      </c>
      <c r="EJ17" s="30">
        <f t="shared" si="42"/>
        <v>3024.1534469493649</v>
      </c>
      <c r="EK17" s="177">
        <f t="shared" si="116"/>
        <v>1.2075699960134056</v>
      </c>
      <c r="EL17" s="168">
        <f t="shared" si="117"/>
        <v>0.30189249900335141</v>
      </c>
      <c r="EM17" s="31">
        <f t="shared" si="43"/>
        <v>7.7665464727411482E-2</v>
      </c>
      <c r="EN17" s="32">
        <f t="shared" si="118"/>
        <v>230287.92022775178</v>
      </c>
      <c r="EO17" s="55">
        <f t="shared" si="119"/>
        <v>0</v>
      </c>
      <c r="EP17" s="50" t="s">
        <v>17</v>
      </c>
      <c r="EQ17" s="29" t="s">
        <v>17</v>
      </c>
      <c r="ER17" s="30">
        <f t="shared" si="44"/>
        <v>3024.1534469493649</v>
      </c>
      <c r="ES17" s="177">
        <f t="shared" si="120"/>
        <v>1.2075699960134056</v>
      </c>
      <c r="ET17" s="168">
        <f t="shared" si="121"/>
        <v>0.30189249900335141</v>
      </c>
      <c r="EU17" s="31">
        <f t="shared" si="45"/>
        <v>7.7665464727411482E-2</v>
      </c>
      <c r="EV17" s="32">
        <f t="shared" si="122"/>
        <v>230287.92022775178</v>
      </c>
      <c r="EW17" s="55">
        <f t="shared" si="123"/>
        <v>0</v>
      </c>
      <c r="EX17" s="33" t="s">
        <v>17</v>
      </c>
      <c r="EY17" s="29" t="s">
        <v>17</v>
      </c>
      <c r="EZ17" s="30">
        <f t="shared" si="46"/>
        <v>3024.1534469493649</v>
      </c>
      <c r="FA17" s="177">
        <f t="shared" si="124"/>
        <v>1.2075699960134056</v>
      </c>
      <c r="FB17" s="168">
        <f t="shared" si="125"/>
        <v>0.30189249900335141</v>
      </c>
      <c r="FC17" s="31">
        <f t="shared" si="47"/>
        <v>7.7665464727411482E-2</v>
      </c>
      <c r="FD17" s="32">
        <f t="shared" si="126"/>
        <v>230287.92022775178</v>
      </c>
      <c r="FE17" s="55">
        <f t="shared" si="127"/>
        <v>0</v>
      </c>
      <c r="FF17" s="50" t="s">
        <v>17</v>
      </c>
      <c r="FG17" s="29" t="s">
        <v>17</v>
      </c>
      <c r="FH17" s="30">
        <f t="shared" si="48"/>
        <v>3024.1534469493649</v>
      </c>
      <c r="FI17" s="177">
        <f t="shared" si="128"/>
        <v>1.2075699960134056</v>
      </c>
      <c r="FJ17" s="168">
        <f t="shared" si="129"/>
        <v>0.30189249900335141</v>
      </c>
      <c r="FK17" s="31">
        <f t="shared" si="49"/>
        <v>7.7665464727411482E-2</v>
      </c>
      <c r="FL17" s="32">
        <f t="shared" si="130"/>
        <v>230287.92022775178</v>
      </c>
      <c r="FM17" s="55">
        <f t="shared" si="131"/>
        <v>0</v>
      </c>
      <c r="FN17" s="78">
        <f t="shared" si="132"/>
        <v>1988715.2734309642</v>
      </c>
      <c r="FO17" s="142">
        <f t="shared" si="50"/>
        <v>2360997.6811880479</v>
      </c>
      <c r="FP17" s="138" t="s">
        <v>17</v>
      </c>
      <c r="FQ17" s="42">
        <f>'Исходные данные'!I19</f>
        <v>0</v>
      </c>
      <c r="FR17" s="43">
        <f t="shared" si="133"/>
        <v>2360997.6811880479</v>
      </c>
      <c r="FS17" s="43">
        <f t="shared" si="134"/>
        <v>2360997.6811880479</v>
      </c>
      <c r="FT17" s="43">
        <f t="shared" si="135"/>
        <v>2360997.6811880479</v>
      </c>
      <c r="FU17" s="146">
        <v>2360998</v>
      </c>
    </row>
    <row r="18" spans="1:177" ht="22.5" customHeight="1" x14ac:dyDescent="0.2">
      <c r="A18" s="209" t="s">
        <v>141</v>
      </c>
      <c r="B18" s="50" t="s">
        <v>17</v>
      </c>
      <c r="C18" s="29" t="s">
        <v>17</v>
      </c>
      <c r="D18" s="29" t="s">
        <v>17</v>
      </c>
      <c r="E18" s="29" t="s">
        <v>17</v>
      </c>
      <c r="F18" s="51" t="s">
        <v>17</v>
      </c>
      <c r="G18" s="57">
        <f>'Исходные данные'!C20</f>
        <v>1121</v>
      </c>
      <c r="H18" s="194">
        <f>'Исходные данные'!D20</f>
        <v>1232200</v>
      </c>
      <c r="I18" s="198">
        <f>'Расчет поправочного коэф'!G19</f>
        <v>3.1404761904761904</v>
      </c>
      <c r="J18" s="190">
        <f t="shared" si="9"/>
        <v>352473.46207406331</v>
      </c>
      <c r="K18" s="187">
        <f t="shared" si="10"/>
        <v>1413.6248546601814</v>
      </c>
      <c r="L18" s="173">
        <f t="shared" si="52"/>
        <v>0.87834422762199638</v>
      </c>
      <c r="M18" s="211">
        <f t="shared" si="53"/>
        <v>0.27968504594483584</v>
      </c>
      <c r="N18" s="29" t="s">
        <v>17</v>
      </c>
      <c r="O18" s="31">
        <f t="shared" si="54"/>
        <v>7.0362480785435499E-2</v>
      </c>
      <c r="P18" s="32">
        <f t="shared" si="11"/>
        <v>126945.16855681047</v>
      </c>
      <c r="Q18" s="55">
        <f t="shared" si="55"/>
        <v>126945.16855681047</v>
      </c>
      <c r="R18" s="50" t="s">
        <v>17</v>
      </c>
      <c r="S18" s="29" t="s">
        <v>17</v>
      </c>
      <c r="T18" s="30">
        <f t="shared" si="12"/>
        <v>1526.8676455226348</v>
      </c>
      <c r="U18" s="177">
        <f t="shared" si="56"/>
        <v>0.8907330689965488</v>
      </c>
      <c r="V18" s="168">
        <f t="shared" si="57"/>
        <v>0.28362993857357888</v>
      </c>
      <c r="W18" s="31">
        <f t="shared" si="13"/>
        <v>7.1443652849049466E-2</v>
      </c>
      <c r="X18" s="32">
        <f t="shared" si="58"/>
        <v>137284.99761945108</v>
      </c>
      <c r="Y18" s="55">
        <f t="shared" si="59"/>
        <v>137284.99761945108</v>
      </c>
      <c r="Z18" s="33" t="s">
        <v>17</v>
      </c>
      <c r="AA18" s="29" t="s">
        <v>17</v>
      </c>
      <c r="AB18" s="30">
        <f t="shared" si="14"/>
        <v>1649.334191124286</v>
      </c>
      <c r="AC18" s="177">
        <f t="shared" si="60"/>
        <v>0.90607725141860473</v>
      </c>
      <c r="AD18" s="168">
        <f t="shared" si="61"/>
        <v>0.28851587990584837</v>
      </c>
      <c r="AE18" s="31">
        <f t="shared" si="15"/>
        <v>7.1070110837833878E-2</v>
      </c>
      <c r="AF18" s="32">
        <f t="shared" si="62"/>
        <v>145022.71807673556</v>
      </c>
      <c r="AG18" s="55">
        <f t="shared" si="63"/>
        <v>145022.71807673556</v>
      </c>
      <c r="AH18" s="50" t="s">
        <v>17</v>
      </c>
      <c r="AI18" s="29" t="s">
        <v>17</v>
      </c>
      <c r="AJ18" s="30">
        <f t="shared" si="16"/>
        <v>1778.7032527449244</v>
      </c>
      <c r="AK18" s="177">
        <f t="shared" si="64"/>
        <v>0.92273588360182746</v>
      </c>
      <c r="AL18" s="168">
        <f t="shared" si="65"/>
        <v>0.29382037233720054</v>
      </c>
      <c r="AM18" s="31">
        <f t="shared" si="17"/>
        <v>6.9830181085451692E-2</v>
      </c>
      <c r="AN18" s="32">
        <f t="shared" si="66"/>
        <v>150895.0072382293</v>
      </c>
      <c r="AO18" s="55">
        <f t="shared" si="67"/>
        <v>150895.0072382293</v>
      </c>
      <c r="AP18" s="50" t="s">
        <v>17</v>
      </c>
      <c r="AQ18" s="29" t="s">
        <v>17</v>
      </c>
      <c r="AR18" s="30">
        <f t="shared" si="18"/>
        <v>1913.3107525114092</v>
      </c>
      <c r="AS18" s="177">
        <f t="shared" si="68"/>
        <v>0.93970778113324749</v>
      </c>
      <c r="AT18" s="168">
        <f t="shared" si="69"/>
        <v>0.29922461567548442</v>
      </c>
      <c r="AU18" s="31">
        <f t="shared" si="19"/>
        <v>6.8100657263483577E-2</v>
      </c>
      <c r="AV18" s="32">
        <f t="shared" si="70"/>
        <v>155435.28192817993</v>
      </c>
      <c r="AW18" s="55">
        <f t="shared" si="71"/>
        <v>155435.28192817993</v>
      </c>
      <c r="AX18" s="50" t="s">
        <v>17</v>
      </c>
      <c r="AY18" s="29" t="s">
        <v>17</v>
      </c>
      <c r="AZ18" s="30">
        <f t="shared" si="20"/>
        <v>2051.9684527149593</v>
      </c>
      <c r="BA18" s="177">
        <f t="shared" si="72"/>
        <v>0.95639917965527121</v>
      </c>
      <c r="BB18" s="168">
        <f t="shared" si="73"/>
        <v>0.30453954166430169</v>
      </c>
      <c r="BC18" s="31">
        <f t="shared" si="21"/>
        <v>6.6120758965033055E-2</v>
      </c>
      <c r="BD18" s="32">
        <f t="shared" si="74"/>
        <v>159028.48704659415</v>
      </c>
      <c r="BE18" s="55">
        <f t="shared" si="75"/>
        <v>159028.48704659415</v>
      </c>
      <c r="BF18" s="50" t="s">
        <v>17</v>
      </c>
      <c r="BG18" s="29" t="s">
        <v>17</v>
      </c>
      <c r="BH18" s="30">
        <f t="shared" si="22"/>
        <v>2193.8315098484063</v>
      </c>
      <c r="BI18" s="177">
        <f t="shared" si="76"/>
        <v>0.97247411732651379</v>
      </c>
      <c r="BJ18" s="168">
        <f t="shared" si="77"/>
        <v>0.30965817231018633</v>
      </c>
      <c r="BK18" s="31">
        <f t="shared" si="23"/>
        <v>6.404042682104838E-2</v>
      </c>
      <c r="BL18" s="32">
        <f t="shared" si="78"/>
        <v>161951.52767160026</v>
      </c>
      <c r="BM18" s="55">
        <f t="shared" si="79"/>
        <v>161951.52767160026</v>
      </c>
      <c r="BN18" s="50" t="s">
        <v>17</v>
      </c>
      <c r="BO18" s="29" t="s">
        <v>17</v>
      </c>
      <c r="BP18" s="30">
        <f t="shared" si="24"/>
        <v>2338.3020965313685</v>
      </c>
      <c r="BQ18" s="177">
        <f t="shared" si="80"/>
        <v>0.98775827241805148</v>
      </c>
      <c r="BR18" s="168">
        <f t="shared" si="81"/>
        <v>0.31452499955692315</v>
      </c>
      <c r="BS18" s="31">
        <f t="shared" si="25"/>
        <v>6.1951823985541832E-2</v>
      </c>
      <c r="BT18" s="32">
        <f t="shared" si="82"/>
        <v>164402.96792537053</v>
      </c>
      <c r="BU18" s="55">
        <f t="shared" si="83"/>
        <v>164402.96792537053</v>
      </c>
      <c r="BV18" s="33" t="s">
        <v>17</v>
      </c>
      <c r="BW18" s="29" t="s">
        <v>17</v>
      </c>
      <c r="BX18" s="30">
        <f t="shared" si="26"/>
        <v>2484.9595166253653</v>
      </c>
      <c r="BY18" s="177">
        <f t="shared" si="84"/>
        <v>1.0021772872353147</v>
      </c>
      <c r="BZ18" s="168">
        <f t="shared" si="85"/>
        <v>0.31911634620078255</v>
      </c>
      <c r="CA18" s="31">
        <f t="shared" si="27"/>
        <v>5.9909877018228197E-2</v>
      </c>
      <c r="CB18" s="32">
        <f t="shared" si="86"/>
        <v>166524.7547168849</v>
      </c>
      <c r="CC18" s="55">
        <f t="shared" si="87"/>
        <v>36437.507337338589</v>
      </c>
      <c r="CD18" s="50" t="s">
        <v>17</v>
      </c>
      <c r="CE18" s="29" t="s">
        <v>17</v>
      </c>
      <c r="CF18" s="30">
        <f t="shared" si="28"/>
        <v>2517.4639834740174</v>
      </c>
      <c r="CG18" s="177">
        <f t="shared" si="88"/>
        <v>1.0052446166560252</v>
      </c>
      <c r="CH18" s="168">
        <f t="shared" si="89"/>
        <v>0.32009305458341969</v>
      </c>
      <c r="CI18" s="31">
        <f t="shared" si="29"/>
        <v>5.9464909147343203E-2</v>
      </c>
      <c r="CJ18" s="32">
        <f t="shared" si="90"/>
        <v>166939.02866286319</v>
      </c>
      <c r="CK18" s="55">
        <f t="shared" si="91"/>
        <v>0</v>
      </c>
      <c r="CL18" s="33" t="s">
        <v>17</v>
      </c>
      <c r="CM18" s="29" t="s">
        <v>17</v>
      </c>
      <c r="CN18" s="30">
        <f t="shared" si="30"/>
        <v>2517.4639834740174</v>
      </c>
      <c r="CO18" s="177">
        <f t="shared" si="92"/>
        <v>1.0052446166560252</v>
      </c>
      <c r="CP18" s="168">
        <f t="shared" si="93"/>
        <v>0.32009305458341969</v>
      </c>
      <c r="CQ18" s="31">
        <f t="shared" si="31"/>
        <v>5.9464909147343203E-2</v>
      </c>
      <c r="CR18" s="32">
        <f t="shared" si="94"/>
        <v>166939.02866286319</v>
      </c>
      <c r="CS18" s="55">
        <f t="shared" si="95"/>
        <v>0</v>
      </c>
      <c r="CT18" s="50" t="s">
        <v>17</v>
      </c>
      <c r="CU18" s="29" t="s">
        <v>17</v>
      </c>
      <c r="CV18" s="30">
        <f t="shared" si="32"/>
        <v>2517.4639834740174</v>
      </c>
      <c r="CW18" s="177">
        <f t="shared" si="96"/>
        <v>1.0052446166560252</v>
      </c>
      <c r="CX18" s="168">
        <f t="shared" si="97"/>
        <v>0.32009305458341969</v>
      </c>
      <c r="CY18" s="31">
        <f t="shared" si="33"/>
        <v>5.9464909147343203E-2</v>
      </c>
      <c r="CZ18" s="32">
        <f t="shared" si="98"/>
        <v>166939.02866286319</v>
      </c>
      <c r="DA18" s="55">
        <f t="shared" si="99"/>
        <v>0</v>
      </c>
      <c r="DB18" s="33" t="s">
        <v>17</v>
      </c>
      <c r="DC18" s="29" t="s">
        <v>17</v>
      </c>
      <c r="DD18" s="30">
        <f t="shared" si="34"/>
        <v>2517.4639834740174</v>
      </c>
      <c r="DE18" s="177">
        <f t="shared" si="100"/>
        <v>1.0052446166560252</v>
      </c>
      <c r="DF18" s="168">
        <f t="shared" si="101"/>
        <v>0.32009305458341969</v>
      </c>
      <c r="DG18" s="31">
        <f t="shared" si="35"/>
        <v>5.9464909147343203E-2</v>
      </c>
      <c r="DH18" s="32">
        <f t="shared" si="102"/>
        <v>166939.02866286319</v>
      </c>
      <c r="DI18" s="55">
        <f t="shared" si="103"/>
        <v>0</v>
      </c>
      <c r="DJ18" s="50" t="s">
        <v>17</v>
      </c>
      <c r="DK18" s="29" t="s">
        <v>17</v>
      </c>
      <c r="DL18" s="30">
        <f t="shared" si="36"/>
        <v>2517.4639834740174</v>
      </c>
      <c r="DM18" s="177">
        <f t="shared" si="104"/>
        <v>1.0052446166560252</v>
      </c>
      <c r="DN18" s="168">
        <f t="shared" si="105"/>
        <v>0.32009305458341969</v>
      </c>
      <c r="DO18" s="31">
        <f t="shared" si="37"/>
        <v>5.9464909147343203E-2</v>
      </c>
      <c r="DP18" s="32">
        <f t="shared" si="106"/>
        <v>166939.02866286319</v>
      </c>
      <c r="DQ18" s="55">
        <f t="shared" si="107"/>
        <v>0</v>
      </c>
      <c r="DR18" s="33" t="s">
        <v>17</v>
      </c>
      <c r="DS18" s="29" t="s">
        <v>17</v>
      </c>
      <c r="DT18" s="30">
        <f t="shared" si="38"/>
        <v>2517.4639834740174</v>
      </c>
      <c r="DU18" s="177">
        <f t="shared" si="108"/>
        <v>1.0052446166560252</v>
      </c>
      <c r="DV18" s="168">
        <f t="shared" si="109"/>
        <v>0.32009305458341969</v>
      </c>
      <c r="DW18" s="31">
        <f t="shared" si="39"/>
        <v>5.9464909147343203E-2</v>
      </c>
      <c r="DX18" s="32">
        <f t="shared" si="110"/>
        <v>166939.02866286319</v>
      </c>
      <c r="DY18" s="55">
        <f t="shared" si="111"/>
        <v>0</v>
      </c>
      <c r="DZ18" s="50" t="s">
        <v>17</v>
      </c>
      <c r="EA18" s="29" t="s">
        <v>17</v>
      </c>
      <c r="EB18" s="30">
        <f t="shared" si="40"/>
        <v>2517.4639834740174</v>
      </c>
      <c r="EC18" s="177">
        <f t="shared" si="112"/>
        <v>1.0052446166560252</v>
      </c>
      <c r="ED18" s="168">
        <f t="shared" si="113"/>
        <v>0.32009305458341969</v>
      </c>
      <c r="EE18" s="31">
        <f t="shared" si="41"/>
        <v>5.9464909147343203E-2</v>
      </c>
      <c r="EF18" s="32">
        <f t="shared" si="114"/>
        <v>166939.02866286319</v>
      </c>
      <c r="EG18" s="55">
        <f t="shared" si="115"/>
        <v>0</v>
      </c>
      <c r="EH18" s="33" t="s">
        <v>17</v>
      </c>
      <c r="EI18" s="29" t="s">
        <v>17</v>
      </c>
      <c r="EJ18" s="30">
        <f t="shared" si="42"/>
        <v>2517.4639834740174</v>
      </c>
      <c r="EK18" s="177">
        <f t="shared" si="116"/>
        <v>1.0052446166560252</v>
      </c>
      <c r="EL18" s="168">
        <f t="shared" si="117"/>
        <v>0.32009305458341969</v>
      </c>
      <c r="EM18" s="31">
        <f t="shared" si="43"/>
        <v>5.9464909147343203E-2</v>
      </c>
      <c r="EN18" s="32">
        <f t="shared" si="118"/>
        <v>166939.02866286319</v>
      </c>
      <c r="EO18" s="55">
        <f t="shared" si="119"/>
        <v>0</v>
      </c>
      <c r="EP18" s="50" t="s">
        <v>17</v>
      </c>
      <c r="EQ18" s="29" t="s">
        <v>17</v>
      </c>
      <c r="ER18" s="30">
        <f t="shared" si="44"/>
        <v>2517.4639834740174</v>
      </c>
      <c r="ES18" s="177">
        <f t="shared" si="120"/>
        <v>1.0052446166560252</v>
      </c>
      <c r="ET18" s="168">
        <f t="shared" si="121"/>
        <v>0.32009305458341969</v>
      </c>
      <c r="EU18" s="31">
        <f t="shared" si="45"/>
        <v>5.9464909147343203E-2</v>
      </c>
      <c r="EV18" s="32">
        <f t="shared" si="122"/>
        <v>166939.02866286319</v>
      </c>
      <c r="EW18" s="55">
        <f t="shared" si="123"/>
        <v>0</v>
      </c>
      <c r="EX18" s="33" t="s">
        <v>17</v>
      </c>
      <c r="EY18" s="29" t="s">
        <v>17</v>
      </c>
      <c r="EZ18" s="30">
        <f t="shared" si="46"/>
        <v>2517.4639834740174</v>
      </c>
      <c r="FA18" s="177">
        <f t="shared" si="124"/>
        <v>1.0052446166560252</v>
      </c>
      <c r="FB18" s="168">
        <f t="shared" si="125"/>
        <v>0.32009305458341969</v>
      </c>
      <c r="FC18" s="31">
        <f t="shared" si="47"/>
        <v>5.9464909147343203E-2</v>
      </c>
      <c r="FD18" s="32">
        <f t="shared" si="126"/>
        <v>166939.02866286319</v>
      </c>
      <c r="FE18" s="55">
        <f t="shared" si="127"/>
        <v>0</v>
      </c>
      <c r="FF18" s="50" t="s">
        <v>17</v>
      </c>
      <c r="FG18" s="29" t="s">
        <v>17</v>
      </c>
      <c r="FH18" s="30">
        <f t="shared" si="48"/>
        <v>2517.4639834740174</v>
      </c>
      <c r="FI18" s="177">
        <f t="shared" si="128"/>
        <v>1.0052446166560252</v>
      </c>
      <c r="FJ18" s="168">
        <f t="shared" si="129"/>
        <v>0.32009305458341969</v>
      </c>
      <c r="FK18" s="31">
        <f t="shared" si="49"/>
        <v>5.9464909147343203E-2</v>
      </c>
      <c r="FL18" s="32">
        <f t="shared" si="130"/>
        <v>166939.02866286319</v>
      </c>
      <c r="FM18" s="55">
        <f t="shared" si="131"/>
        <v>0</v>
      </c>
      <c r="FN18" s="78">
        <f t="shared" si="132"/>
        <v>1237403.6634003096</v>
      </c>
      <c r="FO18" s="142">
        <f t="shared" si="50"/>
        <v>1589877.1254743729</v>
      </c>
      <c r="FP18" s="138" t="s">
        <v>17</v>
      </c>
      <c r="FQ18" s="42">
        <f>'Исходные данные'!I20</f>
        <v>0</v>
      </c>
      <c r="FR18" s="43">
        <f t="shared" si="133"/>
        <v>1589877.1254743729</v>
      </c>
      <c r="FS18" s="43">
        <f t="shared" si="134"/>
        <v>1589877.1254743729</v>
      </c>
      <c r="FT18" s="43">
        <f t="shared" si="135"/>
        <v>1589877.1254743729</v>
      </c>
      <c r="FU18" s="146">
        <v>1589877</v>
      </c>
    </row>
    <row r="19" spans="1:177" ht="22.5" customHeight="1" thickBot="1" x14ac:dyDescent="0.25">
      <c r="A19" s="209" t="s">
        <v>142</v>
      </c>
      <c r="B19" s="79" t="s">
        <v>17</v>
      </c>
      <c r="C19" s="35" t="s">
        <v>17</v>
      </c>
      <c r="D19" s="35" t="s">
        <v>17</v>
      </c>
      <c r="E19" s="35" t="s">
        <v>17</v>
      </c>
      <c r="F19" s="80" t="s">
        <v>17</v>
      </c>
      <c r="G19" s="81">
        <f>'Исходные данные'!C21</f>
        <v>1079</v>
      </c>
      <c r="H19" s="195">
        <f>'Исходные данные'!D21</f>
        <v>1278800</v>
      </c>
      <c r="I19" s="199">
        <f>'Расчет поправочного коэф'!G20</f>
        <v>3.0309523809523808</v>
      </c>
      <c r="J19" s="191">
        <f t="shared" si="9"/>
        <v>339267.49828538299</v>
      </c>
      <c r="K19" s="188">
        <f t="shared" si="10"/>
        <v>1499.5991643052669</v>
      </c>
      <c r="L19" s="174">
        <f t="shared" si="52"/>
        <v>0.93176366089780693</v>
      </c>
      <c r="M19" s="212">
        <f t="shared" si="53"/>
        <v>0.3074161332105883</v>
      </c>
      <c r="N19" s="35" t="s">
        <v>17</v>
      </c>
      <c r="O19" s="83">
        <f t="shared" si="54"/>
        <v>4.2631393519683036E-2</v>
      </c>
      <c r="P19" s="84">
        <f t="shared" si="11"/>
        <v>74032.155530026401</v>
      </c>
      <c r="Q19" s="85">
        <f t="shared" si="55"/>
        <v>74032.155530026401</v>
      </c>
      <c r="R19" s="79" t="s">
        <v>17</v>
      </c>
      <c r="S19" s="35" t="s">
        <v>17</v>
      </c>
      <c r="T19" s="82">
        <f t="shared" si="12"/>
        <v>1568.2109859271634</v>
      </c>
      <c r="U19" s="178">
        <f t="shared" si="56"/>
        <v>0.91485164966664323</v>
      </c>
      <c r="V19" s="169">
        <f t="shared" si="57"/>
        <v>0.30183636516888468</v>
      </c>
      <c r="W19" s="83">
        <f t="shared" si="13"/>
        <v>5.3237226253743664E-2</v>
      </c>
      <c r="X19" s="84">
        <f t="shared" si="58"/>
        <v>98466.994235488251</v>
      </c>
      <c r="Y19" s="85">
        <f t="shared" si="59"/>
        <v>98466.994235488251</v>
      </c>
      <c r="Z19" s="86" t="s">
        <v>17</v>
      </c>
      <c r="AA19" s="35" t="s">
        <v>17</v>
      </c>
      <c r="AB19" s="82">
        <f t="shared" si="14"/>
        <v>1659.4686265531952</v>
      </c>
      <c r="AC19" s="178">
        <f t="shared" si="60"/>
        <v>0.91164469884528188</v>
      </c>
      <c r="AD19" s="169">
        <f t="shared" si="61"/>
        <v>0.30077829812648738</v>
      </c>
      <c r="AE19" s="83">
        <f t="shared" si="15"/>
        <v>5.8807692617194873E-2</v>
      </c>
      <c r="AF19" s="84">
        <f t="shared" si="62"/>
        <v>115504.53063847497</v>
      </c>
      <c r="AG19" s="85">
        <f t="shared" si="63"/>
        <v>115504.53063847497</v>
      </c>
      <c r="AH19" s="79" t="s">
        <v>17</v>
      </c>
      <c r="AI19" s="35" t="s">
        <v>17</v>
      </c>
      <c r="AJ19" s="82">
        <f t="shared" si="16"/>
        <v>1766.5163843275002</v>
      </c>
      <c r="AK19" s="178">
        <f t="shared" si="64"/>
        <v>0.916413715595367</v>
      </c>
      <c r="AL19" s="169">
        <f t="shared" si="65"/>
        <v>0.3023517364886521</v>
      </c>
      <c r="AM19" s="83">
        <f t="shared" si="17"/>
        <v>6.1298816934000133E-2</v>
      </c>
      <c r="AN19" s="84">
        <f t="shared" si="66"/>
        <v>127496.9004253131</v>
      </c>
      <c r="AO19" s="85">
        <f t="shared" si="67"/>
        <v>127496.9004253131</v>
      </c>
      <c r="AP19" s="79" t="s">
        <v>17</v>
      </c>
      <c r="AQ19" s="35" t="s">
        <v>17</v>
      </c>
      <c r="AR19" s="82">
        <f t="shared" si="18"/>
        <v>1884.6784792536475</v>
      </c>
      <c r="AS19" s="178">
        <f t="shared" si="68"/>
        <v>0.92564526152605076</v>
      </c>
      <c r="AT19" s="169">
        <f t="shared" si="69"/>
        <v>0.30539749398345745</v>
      </c>
      <c r="AU19" s="83">
        <f t="shared" si="19"/>
        <v>6.1927778955510548E-2</v>
      </c>
      <c r="AV19" s="84">
        <f t="shared" si="70"/>
        <v>136050.34210057612</v>
      </c>
      <c r="AW19" s="85">
        <f t="shared" si="71"/>
        <v>136050.34210057612</v>
      </c>
      <c r="AX19" s="79" t="s">
        <v>17</v>
      </c>
      <c r="AY19" s="35" t="s">
        <v>17</v>
      </c>
      <c r="AZ19" s="82">
        <f t="shared" si="20"/>
        <v>2010.7677675767022</v>
      </c>
      <c r="BA19" s="178">
        <f t="shared" si="72"/>
        <v>0.9371960084684392</v>
      </c>
      <c r="BB19" s="169">
        <f t="shared" si="73"/>
        <v>0.30920842384661784</v>
      </c>
      <c r="BC19" s="83">
        <f t="shared" si="21"/>
        <v>6.1451876782716908E-2</v>
      </c>
      <c r="BD19" s="84">
        <f t="shared" si="74"/>
        <v>142261.72826313629</v>
      </c>
      <c r="BE19" s="85">
        <f t="shared" si="75"/>
        <v>142261.72826313629</v>
      </c>
      <c r="BF19" s="79" t="s">
        <v>17</v>
      </c>
      <c r="BG19" s="35" t="s">
        <v>17</v>
      </c>
      <c r="BH19" s="82">
        <f t="shared" si="22"/>
        <v>2142.6136695814625</v>
      </c>
      <c r="BI19" s="178">
        <f t="shared" si="76"/>
        <v>0.94977044852543613</v>
      </c>
      <c r="BJ19" s="169">
        <f t="shared" si="77"/>
        <v>0.31335710006338036</v>
      </c>
      <c r="BK19" s="83">
        <f t="shared" si="23"/>
        <v>6.0341499067854354E-2</v>
      </c>
      <c r="BL19" s="84">
        <f t="shared" si="78"/>
        <v>146880.03201334149</v>
      </c>
      <c r="BM19" s="85">
        <f t="shared" si="79"/>
        <v>146880.03201334149</v>
      </c>
      <c r="BN19" s="79" t="s">
        <v>17</v>
      </c>
      <c r="BO19" s="35" t="s">
        <v>17</v>
      </c>
      <c r="BP19" s="82">
        <f t="shared" si="24"/>
        <v>2278.7397418829837</v>
      </c>
      <c r="BQ19" s="178">
        <f t="shared" si="80"/>
        <v>0.9625976190465676</v>
      </c>
      <c r="BR19" s="169">
        <f t="shared" si="81"/>
        <v>0.31758915946548189</v>
      </c>
      <c r="BS19" s="83">
        <f t="shared" si="25"/>
        <v>5.8887664076983093E-2</v>
      </c>
      <c r="BT19" s="84">
        <f t="shared" si="82"/>
        <v>150416.58191193073</v>
      </c>
      <c r="BU19" s="85">
        <f t="shared" si="83"/>
        <v>150416.58191193073</v>
      </c>
      <c r="BV19" s="86" t="s">
        <v>17</v>
      </c>
      <c r="BW19" s="35" t="s">
        <v>17</v>
      </c>
      <c r="BX19" s="82">
        <f t="shared" si="26"/>
        <v>2418.1434322554869</v>
      </c>
      <c r="BY19" s="178">
        <f t="shared" si="84"/>
        <v>0.97523054555622868</v>
      </c>
      <c r="BZ19" s="169">
        <f t="shared" si="85"/>
        <v>0.32175713207668188</v>
      </c>
      <c r="CA19" s="83">
        <f t="shared" si="27"/>
        <v>5.7269091142328865E-2</v>
      </c>
      <c r="CB19" s="84">
        <f t="shared" si="86"/>
        <v>153220.36676423613</v>
      </c>
      <c r="CC19" s="85">
        <f t="shared" si="87"/>
        <v>33526.356172650616</v>
      </c>
      <c r="CD19" s="79" t="s">
        <v>17</v>
      </c>
      <c r="CE19" s="35" t="s">
        <v>17</v>
      </c>
      <c r="CF19" s="82">
        <f t="shared" si="28"/>
        <v>2449.2151247231891</v>
      </c>
      <c r="CG19" s="178">
        <f t="shared" si="88"/>
        <v>0.97799227131859057</v>
      </c>
      <c r="CH19" s="169">
        <f t="shared" si="89"/>
        <v>0.32266830632663634</v>
      </c>
      <c r="CI19" s="83">
        <f t="shared" si="29"/>
        <v>5.6889657404126548E-2</v>
      </c>
      <c r="CJ19" s="84">
        <f t="shared" si="90"/>
        <v>153725.62698354683</v>
      </c>
      <c r="CK19" s="85">
        <f t="shared" si="91"/>
        <v>0</v>
      </c>
      <c r="CL19" s="86" t="s">
        <v>17</v>
      </c>
      <c r="CM19" s="35" t="s">
        <v>17</v>
      </c>
      <c r="CN19" s="82">
        <f t="shared" si="30"/>
        <v>2449.2151247231891</v>
      </c>
      <c r="CO19" s="178">
        <f t="shared" si="92"/>
        <v>0.97799227131859057</v>
      </c>
      <c r="CP19" s="169">
        <f t="shared" si="93"/>
        <v>0.32266830632663634</v>
      </c>
      <c r="CQ19" s="83">
        <f t="shared" si="31"/>
        <v>5.6889657404126548E-2</v>
      </c>
      <c r="CR19" s="84">
        <f t="shared" si="94"/>
        <v>153725.62698354683</v>
      </c>
      <c r="CS19" s="85">
        <f t="shared" si="95"/>
        <v>0</v>
      </c>
      <c r="CT19" s="79" t="s">
        <v>17</v>
      </c>
      <c r="CU19" s="35" t="s">
        <v>17</v>
      </c>
      <c r="CV19" s="82">
        <f t="shared" si="32"/>
        <v>2449.2151247231891</v>
      </c>
      <c r="CW19" s="178">
        <f t="shared" si="96"/>
        <v>0.97799227131859057</v>
      </c>
      <c r="CX19" s="169">
        <f t="shared" si="97"/>
        <v>0.32266830632663634</v>
      </c>
      <c r="CY19" s="83">
        <f t="shared" si="33"/>
        <v>5.6889657404126548E-2</v>
      </c>
      <c r="CZ19" s="84">
        <f t="shared" si="98"/>
        <v>153725.62698354683</v>
      </c>
      <c r="DA19" s="85">
        <f t="shared" si="99"/>
        <v>0</v>
      </c>
      <c r="DB19" s="86" t="s">
        <v>17</v>
      </c>
      <c r="DC19" s="35" t="s">
        <v>17</v>
      </c>
      <c r="DD19" s="82">
        <f t="shared" si="34"/>
        <v>2449.2151247231891</v>
      </c>
      <c r="DE19" s="178">
        <f t="shared" si="100"/>
        <v>0.97799227131859057</v>
      </c>
      <c r="DF19" s="169">
        <f t="shared" si="101"/>
        <v>0.32266830632663634</v>
      </c>
      <c r="DG19" s="83">
        <f t="shared" si="35"/>
        <v>5.6889657404126548E-2</v>
      </c>
      <c r="DH19" s="84">
        <f t="shared" si="102"/>
        <v>153725.62698354683</v>
      </c>
      <c r="DI19" s="85">
        <f t="shared" si="103"/>
        <v>0</v>
      </c>
      <c r="DJ19" s="79" t="s">
        <v>17</v>
      </c>
      <c r="DK19" s="35" t="s">
        <v>17</v>
      </c>
      <c r="DL19" s="82">
        <f t="shared" si="36"/>
        <v>2449.2151247231891</v>
      </c>
      <c r="DM19" s="178">
        <f t="shared" si="104"/>
        <v>0.97799227131859057</v>
      </c>
      <c r="DN19" s="169">
        <f t="shared" si="105"/>
        <v>0.32266830632663634</v>
      </c>
      <c r="DO19" s="83">
        <f t="shared" si="37"/>
        <v>5.6889657404126548E-2</v>
      </c>
      <c r="DP19" s="84">
        <f t="shared" si="106"/>
        <v>153725.62698354683</v>
      </c>
      <c r="DQ19" s="85">
        <f t="shared" si="107"/>
        <v>0</v>
      </c>
      <c r="DR19" s="86" t="s">
        <v>17</v>
      </c>
      <c r="DS19" s="35" t="s">
        <v>17</v>
      </c>
      <c r="DT19" s="82">
        <f t="shared" si="38"/>
        <v>2449.2151247231891</v>
      </c>
      <c r="DU19" s="178">
        <f t="shared" si="108"/>
        <v>0.97799227131859057</v>
      </c>
      <c r="DV19" s="169">
        <f t="shared" si="109"/>
        <v>0.32266830632663634</v>
      </c>
      <c r="DW19" s="83">
        <f t="shared" si="39"/>
        <v>5.6889657404126548E-2</v>
      </c>
      <c r="DX19" s="84">
        <f t="shared" si="110"/>
        <v>153725.62698354683</v>
      </c>
      <c r="DY19" s="85">
        <f t="shared" si="111"/>
        <v>0</v>
      </c>
      <c r="DZ19" s="79" t="s">
        <v>17</v>
      </c>
      <c r="EA19" s="35" t="s">
        <v>17</v>
      </c>
      <c r="EB19" s="82">
        <f t="shared" si="40"/>
        <v>2449.2151247231891</v>
      </c>
      <c r="EC19" s="178">
        <f t="shared" si="112"/>
        <v>0.97799227131859057</v>
      </c>
      <c r="ED19" s="169">
        <f t="shared" si="113"/>
        <v>0.32266830632663634</v>
      </c>
      <c r="EE19" s="83">
        <f t="shared" si="41"/>
        <v>5.6889657404126548E-2</v>
      </c>
      <c r="EF19" s="84">
        <f t="shared" si="114"/>
        <v>153725.62698354683</v>
      </c>
      <c r="EG19" s="85">
        <f t="shared" si="115"/>
        <v>0</v>
      </c>
      <c r="EH19" s="86" t="s">
        <v>17</v>
      </c>
      <c r="EI19" s="35" t="s">
        <v>17</v>
      </c>
      <c r="EJ19" s="82">
        <f t="shared" si="42"/>
        <v>2449.2151247231891</v>
      </c>
      <c r="EK19" s="178">
        <f t="shared" si="116"/>
        <v>0.97799227131859057</v>
      </c>
      <c r="EL19" s="169">
        <f t="shared" si="117"/>
        <v>0.32266830632663634</v>
      </c>
      <c r="EM19" s="83">
        <f t="shared" si="43"/>
        <v>5.6889657404126548E-2</v>
      </c>
      <c r="EN19" s="84">
        <f t="shared" si="118"/>
        <v>153725.62698354683</v>
      </c>
      <c r="EO19" s="85">
        <f t="shared" si="119"/>
        <v>0</v>
      </c>
      <c r="EP19" s="79" t="s">
        <v>17</v>
      </c>
      <c r="EQ19" s="35" t="s">
        <v>17</v>
      </c>
      <c r="ER19" s="82">
        <f t="shared" si="44"/>
        <v>2449.2151247231891</v>
      </c>
      <c r="ES19" s="178">
        <f t="shared" si="120"/>
        <v>0.97799227131859057</v>
      </c>
      <c r="ET19" s="169">
        <f t="shared" si="121"/>
        <v>0.32266830632663634</v>
      </c>
      <c r="EU19" s="83">
        <f t="shared" si="45"/>
        <v>5.6889657404126548E-2</v>
      </c>
      <c r="EV19" s="84">
        <f t="shared" si="122"/>
        <v>153725.62698354683</v>
      </c>
      <c r="EW19" s="85">
        <f t="shared" si="123"/>
        <v>0</v>
      </c>
      <c r="EX19" s="86" t="s">
        <v>17</v>
      </c>
      <c r="EY19" s="35" t="s">
        <v>17</v>
      </c>
      <c r="EZ19" s="82">
        <f t="shared" si="46"/>
        <v>2449.2151247231891</v>
      </c>
      <c r="FA19" s="178">
        <f t="shared" si="124"/>
        <v>0.97799227131859057</v>
      </c>
      <c r="FB19" s="169">
        <f t="shared" si="125"/>
        <v>0.32266830632663634</v>
      </c>
      <c r="FC19" s="83">
        <f t="shared" si="47"/>
        <v>5.6889657404126548E-2</v>
      </c>
      <c r="FD19" s="84">
        <f t="shared" si="126"/>
        <v>153725.62698354683</v>
      </c>
      <c r="FE19" s="85">
        <f t="shared" si="127"/>
        <v>0</v>
      </c>
      <c r="FF19" s="79" t="s">
        <v>17</v>
      </c>
      <c r="FG19" s="35" t="s">
        <v>17</v>
      </c>
      <c r="FH19" s="82">
        <f t="shared" si="48"/>
        <v>2449.2151247231891</v>
      </c>
      <c r="FI19" s="178">
        <f t="shared" si="128"/>
        <v>0.97799227131859057</v>
      </c>
      <c r="FJ19" s="169">
        <f t="shared" si="129"/>
        <v>0.32266830632663634</v>
      </c>
      <c r="FK19" s="83">
        <f t="shared" si="49"/>
        <v>5.6889657404126548E-2</v>
      </c>
      <c r="FL19" s="84">
        <f t="shared" si="130"/>
        <v>153725.62698354683</v>
      </c>
      <c r="FM19" s="85">
        <f t="shared" si="131"/>
        <v>0</v>
      </c>
      <c r="FN19" s="87">
        <f t="shared" si="132"/>
        <v>1024635.6212909379</v>
      </c>
      <c r="FO19" s="143">
        <f t="shared" si="50"/>
        <v>1363903.119576321</v>
      </c>
      <c r="FP19" s="139" t="s">
        <v>17</v>
      </c>
      <c r="FQ19" s="116">
        <f>'Исходные данные'!I21</f>
        <v>0</v>
      </c>
      <c r="FR19" s="88">
        <f t="shared" si="133"/>
        <v>1363903.119576321</v>
      </c>
      <c r="FS19" s="88">
        <f t="shared" si="134"/>
        <v>1363903.119576321</v>
      </c>
      <c r="FT19" s="88">
        <f t="shared" si="135"/>
        <v>1363903.119576321</v>
      </c>
      <c r="FU19" s="147">
        <v>1363903</v>
      </c>
    </row>
    <row r="20" spans="1:177" s="25" customFormat="1" ht="16.5" thickBot="1" x14ac:dyDescent="0.3">
      <c r="A20" s="89" t="s">
        <v>10</v>
      </c>
      <c r="B20" s="201">
        <v>16687646</v>
      </c>
      <c r="C20" s="202">
        <v>26</v>
      </c>
      <c r="D20" s="90">
        <f>B20*C20/100</f>
        <v>4338787.96</v>
      </c>
      <c r="E20" s="91">
        <f>100-C20</f>
        <v>74</v>
      </c>
      <c r="F20" s="92">
        <f>B20-D20</f>
        <v>12348858.039999999</v>
      </c>
      <c r="G20" s="93">
        <f>SUM(G9:G19)</f>
        <v>13799</v>
      </c>
      <c r="H20" s="196">
        <f>SUM(H9:H19)</f>
        <v>17869600</v>
      </c>
      <c r="I20" s="200" t="s">
        <v>17</v>
      </c>
      <c r="J20" s="192">
        <f>SUM(J9:J19)</f>
        <v>4338787.96</v>
      </c>
      <c r="K20" s="130">
        <f t="shared" si="10"/>
        <v>1609.4201000072469</v>
      </c>
      <c r="L20" s="130" t="s">
        <v>17</v>
      </c>
      <c r="M20" s="95" t="s">
        <v>17</v>
      </c>
      <c r="N20" s="96">
        <f>(SUMIF(M9:M19,"&lt;1")+1)/(COUNTIFS(M9:M19,"&lt;1")+1)</f>
        <v>0.35004752673027134</v>
      </c>
      <c r="O20" s="97" t="s">
        <v>17</v>
      </c>
      <c r="P20" s="91">
        <f>SUM(P9:P19)</f>
        <v>1445439.8520765167</v>
      </c>
      <c r="Q20" s="98">
        <f>SUM(Q9:Q19)</f>
        <v>1445439.8520765167</v>
      </c>
      <c r="R20" s="99">
        <f>F20-Q20</f>
        <v>10903418.187923482</v>
      </c>
      <c r="S20" s="96">
        <f>(SUMIF(V9:V19,"&lt;1")+1)/(COUNTIFS(V9:V19,"&lt;1")+1)</f>
        <v>0.35507359142262834</v>
      </c>
      <c r="T20" s="100">
        <f t="shared" si="12"/>
        <v>1714.1697088250248</v>
      </c>
      <c r="U20" s="179" t="s">
        <v>17</v>
      </c>
      <c r="V20" s="97" t="s">
        <v>17</v>
      </c>
      <c r="W20" s="97" t="s">
        <v>17</v>
      </c>
      <c r="X20" s="91">
        <f>SUM(X9:X19)</f>
        <v>1464518.8495254784</v>
      </c>
      <c r="Y20" s="98">
        <f>SUM(Y9:Y19)</f>
        <v>1464518.8495254784</v>
      </c>
      <c r="Z20" s="101">
        <f>R20-Y20</f>
        <v>9438899.338398004</v>
      </c>
      <c r="AA20" s="96">
        <f>(SUMIF(AD9:AD19,"&lt;1")+1)/(COUNTIFS(AD9:AD19,"&lt;1")+1)</f>
        <v>0.35958599074368225</v>
      </c>
      <c r="AB20" s="100">
        <f t="shared" si="14"/>
        <v>1820.3019538808605</v>
      </c>
      <c r="AC20" s="179" t="s">
        <v>17</v>
      </c>
      <c r="AD20" s="97" t="s">
        <v>17</v>
      </c>
      <c r="AE20" s="97" t="s">
        <v>17</v>
      </c>
      <c r="AF20" s="91">
        <f>SUM(AF9:AF19)</f>
        <v>1481167.4797797713</v>
      </c>
      <c r="AG20" s="102">
        <f>SUM(AG9:AG19)</f>
        <v>1481167.4797797713</v>
      </c>
      <c r="AH20" s="99">
        <f>Z20-AG20</f>
        <v>7957731.8586182324</v>
      </c>
      <c r="AI20" s="96">
        <f>(SUMIF(AL9:AL19,"&lt;1")+1)/(COUNTIFS(AL9:AL19,"&lt;1")+1)</f>
        <v>0.36365055342265223</v>
      </c>
      <c r="AJ20" s="100">
        <f t="shared" si="16"/>
        <v>1927.640708847146</v>
      </c>
      <c r="AK20" s="97" t="s">
        <v>17</v>
      </c>
      <c r="AL20" s="97" t="s">
        <v>17</v>
      </c>
      <c r="AM20" s="97" t="s">
        <v>17</v>
      </c>
      <c r="AN20" s="91">
        <f>SUM(AN9:AN19)</f>
        <v>1496214.7692222521</v>
      </c>
      <c r="AO20" s="98">
        <f>SUM(AO9:AO19)</f>
        <v>1496214.7692222521</v>
      </c>
      <c r="AP20" s="99">
        <f>AH20-AO20</f>
        <v>6461517.0893959804</v>
      </c>
      <c r="AQ20" s="96">
        <f>(SUMIF(AT9:AT19,"&lt;1")+1)/(COUNTIFS(AT9:AT19,"&lt;1")+1)</f>
        <v>0.36732527293896799</v>
      </c>
      <c r="AR20" s="100">
        <f t="shared" si="18"/>
        <v>2036.0699261253728</v>
      </c>
      <c r="AS20" s="97" t="s">
        <v>17</v>
      </c>
      <c r="AT20" s="97" t="s">
        <v>17</v>
      </c>
      <c r="AU20" s="97" t="s">
        <v>17</v>
      </c>
      <c r="AV20" s="91">
        <f>SUM(AV9:AV19)</f>
        <v>1510227.7666275008</v>
      </c>
      <c r="AW20" s="98">
        <f>SUM(AW9:AW19)</f>
        <v>1510227.7666275008</v>
      </c>
      <c r="AX20" s="99">
        <f>AP20-AW20</f>
        <v>4951289.3227684796</v>
      </c>
      <c r="AY20" s="96">
        <f>(SUMIF(BB9:BB19,"&lt;1")+1)/(COUNTIFS(BB9:BB19,"&lt;1")+1)</f>
        <v>0.37066030062933475</v>
      </c>
      <c r="AZ20" s="100">
        <f t="shared" si="20"/>
        <v>2145.5146515857323</v>
      </c>
      <c r="BA20" s="97" t="s">
        <v>17</v>
      </c>
      <c r="BB20" s="97" t="s">
        <v>17</v>
      </c>
      <c r="BC20" s="97" t="s">
        <v>17</v>
      </c>
      <c r="BD20" s="91">
        <f>SUM(BD9:BD19)</f>
        <v>1523592.649615939</v>
      </c>
      <c r="BE20" s="102">
        <f>SUM(BE9:BE19)</f>
        <v>1523592.649615939</v>
      </c>
      <c r="BF20" s="99">
        <f>AX20-BE20</f>
        <v>3427696.6731525408</v>
      </c>
      <c r="BG20" s="96">
        <f>(SUMIF(BJ9:BJ19,"&lt;1")+1)/(COUNTIFS(BJ9:BJ19,"&lt;1")+1)</f>
        <v>0.37369859913123471</v>
      </c>
      <c r="BH20" s="100">
        <f t="shared" si="22"/>
        <v>2255.9279170119185</v>
      </c>
      <c r="BI20" s="97" t="s">
        <v>17</v>
      </c>
      <c r="BJ20" s="97" t="s">
        <v>17</v>
      </c>
      <c r="BK20" s="97" t="s">
        <v>17</v>
      </c>
      <c r="BL20" s="91">
        <f>SUM(BL9:BL19)</f>
        <v>1536571.0500014145</v>
      </c>
      <c r="BM20" s="102">
        <f>SUM(BM9:BM19)</f>
        <v>1536571.0500014145</v>
      </c>
      <c r="BN20" s="99">
        <f>BF20-BM20</f>
        <v>1891125.6231511263</v>
      </c>
      <c r="BO20" s="96">
        <f>(SUMIF(BR9:BR19,"&lt;1")+1)/(COUNTIFS(BR9:BR19,"&lt;1")+1)</f>
        <v>0.37647682354246498</v>
      </c>
      <c r="BP20" s="100">
        <f t="shared" si="24"/>
        <v>2367.2817143886423</v>
      </c>
      <c r="BQ20" s="97" t="s">
        <v>17</v>
      </c>
      <c r="BR20" s="97" t="s">
        <v>17</v>
      </c>
      <c r="BS20" s="97" t="s">
        <v>17</v>
      </c>
      <c r="BT20" s="91">
        <f>SUM(BT9:BT19)</f>
        <v>1549339.1098736641</v>
      </c>
      <c r="BU20" s="98">
        <f>SUM(BU9:BU19)</f>
        <v>1549339.1098736641</v>
      </c>
      <c r="BV20" s="101">
        <f>BN20-BU20</f>
        <v>341786.51327746222</v>
      </c>
      <c r="BW20" s="96">
        <f>(SUMIF(BZ9:BZ19,"&lt;1")+1)/(COUNTIFS(BZ9:BZ19,"&lt;1")+1)</f>
        <v>0.37902622321901075</v>
      </c>
      <c r="BX20" s="100">
        <f t="shared" si="26"/>
        <v>2479.5608005451513</v>
      </c>
      <c r="BY20" s="97" t="s">
        <v>17</v>
      </c>
      <c r="BZ20" s="97" t="s">
        <v>17</v>
      </c>
      <c r="CA20" s="97" t="s">
        <v>17</v>
      </c>
      <c r="CB20" s="91">
        <f>SUM(CB9:CB19)</f>
        <v>1562014.5132909599</v>
      </c>
      <c r="CC20" s="102">
        <f>SUM(CC9:CC19)</f>
        <v>341786.51327746222</v>
      </c>
      <c r="CD20" s="99">
        <f>BV20-CC20</f>
        <v>0</v>
      </c>
      <c r="CE20" s="96">
        <f>(SUMIF(CH9:CH19,"&lt;1")+1)/(COUNTIFS(CH9:CH19,"&lt;1")+1)</f>
        <v>0.37955796373076289</v>
      </c>
      <c r="CF20" s="100">
        <f t="shared" si="28"/>
        <v>2504.3297340386989</v>
      </c>
      <c r="CG20" s="97" t="s">
        <v>17</v>
      </c>
      <c r="CH20" s="97" t="s">
        <v>17</v>
      </c>
      <c r="CI20" s="97" t="s">
        <v>17</v>
      </c>
      <c r="CJ20" s="91">
        <f>SUM(CJ9:CJ19)</f>
        <v>1564784.8053020095</v>
      </c>
      <c r="CK20" s="98">
        <f>SUM(CK9:CK19)</f>
        <v>0</v>
      </c>
      <c r="CL20" s="101">
        <f>CD20-CK20</f>
        <v>0</v>
      </c>
      <c r="CM20" s="96">
        <f>(SUMIF(CP9:CP19,"&lt;1")+1)/(COUNTIFS(CP9:CP19,"&lt;1")+1)</f>
        <v>0.37955796373076289</v>
      </c>
      <c r="CN20" s="100">
        <f t="shared" si="30"/>
        <v>2504.3297340386989</v>
      </c>
      <c r="CO20" s="97" t="s">
        <v>17</v>
      </c>
      <c r="CP20" s="97" t="s">
        <v>17</v>
      </c>
      <c r="CQ20" s="97" t="s">
        <v>17</v>
      </c>
      <c r="CR20" s="91">
        <f>SUM(CR9:CR19)</f>
        <v>1564784.8053020095</v>
      </c>
      <c r="CS20" s="102">
        <f>SUM(CS9:CS19)</f>
        <v>0</v>
      </c>
      <c r="CT20" s="99">
        <f>CL20-CS20</f>
        <v>0</v>
      </c>
      <c r="CU20" s="96">
        <f>(SUMIF(CX9:CX19,"&lt;1")+1)/(COUNTIFS(CX9:CX19,"&lt;1")+1)</f>
        <v>0.37955796373076289</v>
      </c>
      <c r="CV20" s="100">
        <f t="shared" si="32"/>
        <v>2504.3297340386989</v>
      </c>
      <c r="CW20" s="97" t="s">
        <v>17</v>
      </c>
      <c r="CX20" s="97" t="s">
        <v>17</v>
      </c>
      <c r="CY20" s="97" t="s">
        <v>17</v>
      </c>
      <c r="CZ20" s="91">
        <f>SUM(CZ9:CZ19)</f>
        <v>1564784.8053020095</v>
      </c>
      <c r="DA20" s="98">
        <f>SUM(DA9:DA19)</f>
        <v>0</v>
      </c>
      <c r="DB20" s="101">
        <f>CT20-DA20</f>
        <v>0</v>
      </c>
      <c r="DC20" s="96">
        <f>(SUMIF(DF9:DF19,"&lt;1")+1)/(COUNTIFS(DF9:DF19,"&lt;1")+1)</f>
        <v>0.37955796373076289</v>
      </c>
      <c r="DD20" s="100">
        <f t="shared" si="34"/>
        <v>2504.3297340386989</v>
      </c>
      <c r="DE20" s="97" t="s">
        <v>17</v>
      </c>
      <c r="DF20" s="97" t="s">
        <v>17</v>
      </c>
      <c r="DG20" s="97" t="s">
        <v>17</v>
      </c>
      <c r="DH20" s="91">
        <f>SUM(DH9:DH19)</f>
        <v>1564784.8053020095</v>
      </c>
      <c r="DI20" s="102">
        <f>SUM(DI9:DI19)</f>
        <v>0</v>
      </c>
      <c r="DJ20" s="99">
        <f>DB20-DI20</f>
        <v>0</v>
      </c>
      <c r="DK20" s="96">
        <f>(SUMIF(DN9:DN19,"&lt;1")+1)/(COUNTIFS(DN9:DN19,"&lt;1")+1)</f>
        <v>0.37955796373076289</v>
      </c>
      <c r="DL20" s="100">
        <f t="shared" si="36"/>
        <v>2504.3297340386989</v>
      </c>
      <c r="DM20" s="97" t="s">
        <v>17</v>
      </c>
      <c r="DN20" s="97" t="s">
        <v>17</v>
      </c>
      <c r="DO20" s="97" t="s">
        <v>17</v>
      </c>
      <c r="DP20" s="91">
        <f>SUM(DP9:DP19)</f>
        <v>1564784.8053020095</v>
      </c>
      <c r="DQ20" s="98">
        <f>SUM(DQ9:DQ19)</f>
        <v>0</v>
      </c>
      <c r="DR20" s="101">
        <f>DJ20-DQ20</f>
        <v>0</v>
      </c>
      <c r="DS20" s="96">
        <f>(SUMIF(DV9:DV19,"&lt;1")+1)/(COUNTIFS(DV9:DV19,"&lt;1")+1)</f>
        <v>0.37955796373076289</v>
      </c>
      <c r="DT20" s="100">
        <f t="shared" si="38"/>
        <v>2504.3297340386989</v>
      </c>
      <c r="DU20" s="97" t="s">
        <v>17</v>
      </c>
      <c r="DV20" s="97" t="s">
        <v>17</v>
      </c>
      <c r="DW20" s="97" t="s">
        <v>17</v>
      </c>
      <c r="DX20" s="91">
        <f>SUM(DX9:DX19)</f>
        <v>1564784.8053020095</v>
      </c>
      <c r="DY20" s="102">
        <f>SUM(DY9:DY19)</f>
        <v>0</v>
      </c>
      <c r="DZ20" s="99">
        <f>DR20-DY20</f>
        <v>0</v>
      </c>
      <c r="EA20" s="96">
        <f>(SUMIF(ED9:ED19,"&lt;1")+1)/(COUNTIFS(ED9:ED19,"&lt;1")+1)</f>
        <v>0.37955796373076289</v>
      </c>
      <c r="EB20" s="100">
        <f t="shared" si="40"/>
        <v>2504.3297340386989</v>
      </c>
      <c r="EC20" s="97" t="s">
        <v>17</v>
      </c>
      <c r="ED20" s="97" t="s">
        <v>17</v>
      </c>
      <c r="EE20" s="97" t="s">
        <v>17</v>
      </c>
      <c r="EF20" s="91">
        <f>SUM(EF9:EF19)</f>
        <v>1564784.8053020095</v>
      </c>
      <c r="EG20" s="98">
        <f>SUM(EG9:EG19)</f>
        <v>0</v>
      </c>
      <c r="EH20" s="101">
        <f>DZ20-EG20</f>
        <v>0</v>
      </c>
      <c r="EI20" s="96">
        <f>(SUMIF(EL9:EL19,"&lt;1")+1)/(COUNTIFS(EL9:EL19,"&lt;1")+1)</f>
        <v>0.37955796373076289</v>
      </c>
      <c r="EJ20" s="100">
        <f t="shared" si="42"/>
        <v>2504.3297340386989</v>
      </c>
      <c r="EK20" s="97" t="s">
        <v>17</v>
      </c>
      <c r="EL20" s="97" t="s">
        <v>17</v>
      </c>
      <c r="EM20" s="97" t="s">
        <v>17</v>
      </c>
      <c r="EN20" s="91">
        <f>SUM(EN9:EN19)</f>
        <v>1564784.8053020095</v>
      </c>
      <c r="EO20" s="102">
        <f>SUM(EO9:EO19)</f>
        <v>0</v>
      </c>
      <c r="EP20" s="99">
        <f>EH20-EO20</f>
        <v>0</v>
      </c>
      <c r="EQ20" s="96">
        <f>(SUMIF(ET9:ET19,"&lt;1")+1)/(COUNTIFS(ET9:ET19,"&lt;1")+1)</f>
        <v>0.37955796373076289</v>
      </c>
      <c r="ER20" s="100">
        <f t="shared" si="44"/>
        <v>2504.3297340386989</v>
      </c>
      <c r="ES20" s="97" t="s">
        <v>17</v>
      </c>
      <c r="ET20" s="97" t="s">
        <v>17</v>
      </c>
      <c r="EU20" s="97" t="s">
        <v>17</v>
      </c>
      <c r="EV20" s="91">
        <f>SUM(EV9:EV19)</f>
        <v>1564784.8053020095</v>
      </c>
      <c r="EW20" s="98">
        <f>SUM(EW9:EW19)</f>
        <v>0</v>
      </c>
      <c r="EX20" s="101">
        <f>EP20-EW20</f>
        <v>0</v>
      </c>
      <c r="EY20" s="96">
        <f>(SUMIF(FB9:FB19,"&lt;1")+1)/(COUNTIFS(FB9:FB19,"&lt;1")+1)</f>
        <v>0.37955796373076289</v>
      </c>
      <c r="EZ20" s="100">
        <f t="shared" si="46"/>
        <v>2504.3297340386989</v>
      </c>
      <c r="FA20" s="97" t="s">
        <v>17</v>
      </c>
      <c r="FB20" s="97" t="s">
        <v>17</v>
      </c>
      <c r="FC20" s="97" t="s">
        <v>17</v>
      </c>
      <c r="FD20" s="91">
        <f>SUM(FD9:FD19)</f>
        <v>1564784.8053020095</v>
      </c>
      <c r="FE20" s="102">
        <f>SUM(FE9:FE19)</f>
        <v>0</v>
      </c>
      <c r="FF20" s="99">
        <f>EX20-FE20</f>
        <v>0</v>
      </c>
      <c r="FG20" s="96">
        <f>(SUMIF(FJ9:FJ19,"&lt;1")+1)/(COUNTIFS(FJ9:FJ19,"&lt;1")+1)</f>
        <v>0.37955796373076289</v>
      </c>
      <c r="FH20" s="100">
        <f t="shared" si="48"/>
        <v>2504.3297340386989</v>
      </c>
      <c r="FI20" s="97" t="s">
        <v>17</v>
      </c>
      <c r="FJ20" s="97" t="s">
        <v>17</v>
      </c>
      <c r="FK20" s="97" t="s">
        <v>17</v>
      </c>
      <c r="FL20" s="91">
        <f>SUM(FL9:FL19)</f>
        <v>1564784.8053020095</v>
      </c>
      <c r="FM20" s="98">
        <f>SUM(FM9:FM19)</f>
        <v>0</v>
      </c>
      <c r="FN20" s="103">
        <f>SUM(FN9:FN19)</f>
        <v>12348858.039999999</v>
      </c>
      <c r="FO20" s="144">
        <f t="shared" si="50"/>
        <v>16687646</v>
      </c>
      <c r="FP20" s="140">
        <f>B20-FO20</f>
        <v>0</v>
      </c>
      <c r="FQ20" s="117">
        <f>SUM(FQ9:FQ19)</f>
        <v>0</v>
      </c>
      <c r="FR20" s="104">
        <f>SUM(FR9:FR19)</f>
        <v>16687646</v>
      </c>
      <c r="FS20" s="104">
        <f>SUM(FS9:FS19)</f>
        <v>16687646</v>
      </c>
      <c r="FT20" s="104">
        <f>SUM(FT9:FT19)</f>
        <v>16687646</v>
      </c>
      <c r="FU20" s="148">
        <f>SUM(FU9:FU19)</f>
        <v>16687646</v>
      </c>
    </row>
    <row r="22" spans="1:177" x14ac:dyDescent="0.2">
      <c r="BH22" s="170"/>
      <c r="BI22" s="170"/>
      <c r="FO22" s="34"/>
      <c r="FP22" s="34"/>
      <c r="FQ22" s="34"/>
      <c r="FR22" s="34"/>
      <c r="FS22" s="34"/>
      <c r="FT22" s="34"/>
      <c r="FU22" s="34"/>
    </row>
    <row r="23" spans="1:177" x14ac:dyDescent="0.2">
      <c r="K23" s="164"/>
      <c r="L23" s="164"/>
    </row>
  </sheetData>
  <protectedRanges>
    <protectedRange sqref="A9:A19 B20:C20" name="Диапазон3"/>
    <protectedRange sqref="B20:C20" name="Диапазон1"/>
    <protectedRange sqref="A9:A19 B20:C20" name="Диапазон2"/>
  </protectedRanges>
  <autoFilter ref="A7:FT20"/>
  <mergeCells count="41"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</mergeCells>
  <printOptions horizontalCentered="1"/>
  <pageMargins left="0.24027777777777778" right="0.24027777777777778" top="0.35972222222222222" bottom="0.39374999999999999" header="0.51180555555555551" footer="0.51180555555555551"/>
  <pageSetup paperSize="9" scale="49" firstPageNumber="0" pageOrder="overThenDown" orientation="landscape" horizontalDpi="300" verticalDpi="300" r:id="rId1"/>
  <headerFooter alignWithMargins="0"/>
  <colBreaks count="1" manualBreakCount="1">
    <brk id="162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2022</vt:lpstr>
      <vt:lpstr>Лист1</vt:lpstr>
      <vt:lpstr>'Расчет 2022'!Excel_BuiltIn__FilterDatabase</vt:lpstr>
      <vt:lpstr>'Исходные данные'!Excel_BuiltIn_Print_Titles</vt:lpstr>
      <vt:lpstr>'Исходные данные'!Z_287B6B75_F102_4A35_99B4_72102AA4A344__wvu_FilterData</vt:lpstr>
      <vt:lpstr>'Расчет 2022'!Z_287B6B75_F102_4A35_99B4_72102AA4A344__wvu_FilterData</vt:lpstr>
      <vt:lpstr>'Исходные данные'!Z_287B6B75_F102_4A35_99B4_72102AA4A344__wvu_PrintArea</vt:lpstr>
      <vt:lpstr>'Расчет 2022'!Z_287B6B75_F102_4A35_99B4_72102AA4A344__wvu_PrintArea</vt:lpstr>
      <vt:lpstr>'Исходные данные'!Z_287B6B75_F102_4A35_99B4_72102AA4A344__wvu_PrintTitles</vt:lpstr>
      <vt:lpstr>'Расчет 2022'!Z_287B6B75_F102_4A35_99B4_72102AA4A344__wvu_PrintTitles</vt:lpstr>
      <vt:lpstr>'Исходные данные'!Заголовки_для_печати</vt:lpstr>
      <vt:lpstr>'Расчет 2022'!Заголовки_для_печати</vt:lpstr>
      <vt:lpstr>'Исходные данные'!Область_печати</vt:lpstr>
      <vt:lpstr>'Расчет 2022'!Область_печати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2019-09-24T08:05:46Z</cp:lastPrinted>
  <dcterms:created xsi:type="dcterms:W3CDTF">2013-11-15T09:40:24Z</dcterms:created>
  <dcterms:modified xsi:type="dcterms:W3CDTF">2019-10-11T05:45:37Z</dcterms:modified>
</cp:coreProperties>
</file>