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Мои документы\ПЛАНИРОВАНИЕ 2024\БЮДЖЕТ 2024-2026\ВНЕСЕНИЕ ПРОЕКТА БЮДЖЕТА\МАТЕРИАЛЫ 2024-2026 гг\Расчет дотации на выравнивание 2024-2026\"/>
    </mc:Choice>
  </mc:AlternateContent>
  <bookViews>
    <workbookView xWindow="0" yWindow="0" windowWidth="15300" windowHeight="6960" tabRatio="500" activeTab="2"/>
  </bookViews>
  <sheets>
    <sheet name="Исходные данные" sheetId="1" r:id="rId1"/>
    <sheet name="Расчет КРП" sheetId="2" r:id="rId2"/>
    <sheet name="Расчет дотации" sheetId="3" r:id="rId3"/>
  </sheets>
  <definedNames>
    <definedName name="___xlfn_COUNTIFS">#N/A</definedName>
    <definedName name="__xlfn_COUNTIFS">NA()</definedName>
    <definedName name="_xlnm.Print_Titles" localSheetId="0">'Исходные данные'!$6:$9</definedName>
    <definedName name="_xlnm.Print_Titles" localSheetId="2">'Расчет дотации'!$A:$A</definedName>
    <definedName name="_xlnm.Print_Area" localSheetId="0">'Исходные данные'!$A$1:$J$43</definedName>
  </definedNames>
  <calcPr calcId="162913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M33" i="3" l="1"/>
  <c r="E33" i="3"/>
  <c r="D33" i="3"/>
  <c r="F33" i="3" s="1"/>
  <c r="GM32" i="3"/>
  <c r="ER32" i="3"/>
  <c r="V32" i="3"/>
  <c r="P32" i="3"/>
  <c r="I32" i="3"/>
  <c r="H32" i="3"/>
  <c r="G32" i="3"/>
  <c r="GM31" i="3"/>
  <c r="ER31" i="3"/>
  <c r="V31" i="3"/>
  <c r="P31" i="3"/>
  <c r="I31" i="3"/>
  <c r="H31" i="3"/>
  <c r="G31" i="3"/>
  <c r="GM30" i="3"/>
  <c r="ER30" i="3"/>
  <c r="V30" i="3"/>
  <c r="P30" i="3"/>
  <c r="I30" i="3"/>
  <c r="H30" i="3"/>
  <c r="G30" i="3"/>
  <c r="GM29" i="3"/>
  <c r="ER29" i="3"/>
  <c r="V29" i="3"/>
  <c r="P29" i="3"/>
  <c r="I29" i="3"/>
  <c r="H29" i="3"/>
  <c r="G29" i="3"/>
  <c r="GM28" i="3"/>
  <c r="ER28" i="3"/>
  <c r="V28" i="3"/>
  <c r="P28" i="3"/>
  <c r="I28" i="3"/>
  <c r="H28" i="3"/>
  <c r="G28" i="3"/>
  <c r="GM27" i="3"/>
  <c r="ER27" i="3"/>
  <c r="V27" i="3"/>
  <c r="P27" i="3"/>
  <c r="I27" i="3"/>
  <c r="H27" i="3"/>
  <c r="G27" i="3"/>
  <c r="GM26" i="3"/>
  <c r="ER26" i="3"/>
  <c r="V26" i="3"/>
  <c r="P26" i="3"/>
  <c r="I26" i="3"/>
  <c r="H26" i="3"/>
  <c r="G26" i="3"/>
  <c r="GM25" i="3"/>
  <c r="ER25" i="3"/>
  <c r="V25" i="3"/>
  <c r="P25" i="3"/>
  <c r="I25" i="3"/>
  <c r="H25" i="3"/>
  <c r="G25" i="3"/>
  <c r="GM24" i="3"/>
  <c r="ER24" i="3"/>
  <c r="V24" i="3"/>
  <c r="P24" i="3"/>
  <c r="I24" i="3"/>
  <c r="H24" i="3"/>
  <c r="G24" i="3"/>
  <c r="GM23" i="3"/>
  <c r="ER23" i="3"/>
  <c r="V23" i="3"/>
  <c r="P23" i="3"/>
  <c r="I23" i="3"/>
  <c r="H23" i="3"/>
  <c r="G23" i="3"/>
  <c r="GM22" i="3"/>
  <c r="ER22" i="3"/>
  <c r="V22" i="3"/>
  <c r="P22" i="3"/>
  <c r="I22" i="3"/>
  <c r="H22" i="3"/>
  <c r="G22" i="3"/>
  <c r="GM21" i="3"/>
  <c r="ER21" i="3"/>
  <c r="V21" i="3"/>
  <c r="P21" i="3"/>
  <c r="I21" i="3"/>
  <c r="H21" i="3"/>
  <c r="G21" i="3"/>
  <c r="GM20" i="3"/>
  <c r="ER20" i="3"/>
  <c r="V20" i="3"/>
  <c r="P20" i="3"/>
  <c r="I20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B7" i="3"/>
  <c r="C7" i="3" s="1"/>
  <c r="D7" i="3" s="1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AI7" i="3" s="1"/>
  <c r="AJ7" i="3" s="1"/>
  <c r="AK7" i="3" s="1"/>
  <c r="AL7" i="3" s="1"/>
  <c r="AM7" i="3" s="1"/>
  <c r="AN7" i="3" s="1"/>
  <c r="AO7" i="3" s="1"/>
  <c r="AP7" i="3" s="1"/>
  <c r="AQ7" i="3" s="1"/>
  <c r="AR7" i="3" s="1"/>
  <c r="AS7" i="3" s="1"/>
  <c r="AT7" i="3" s="1"/>
  <c r="AU7" i="3" s="1"/>
  <c r="AV7" i="3" s="1"/>
  <c r="AW7" i="3" s="1"/>
  <c r="AX7" i="3" s="1"/>
  <c r="AY7" i="3" s="1"/>
  <c r="AZ7" i="3" s="1"/>
  <c r="BA7" i="3" s="1"/>
  <c r="BB7" i="3" s="1"/>
  <c r="BC7" i="3" s="1"/>
  <c r="BD7" i="3" s="1"/>
  <c r="BE7" i="3" s="1"/>
  <c r="BF7" i="3" s="1"/>
  <c r="BG7" i="3" s="1"/>
  <c r="BH7" i="3" s="1"/>
  <c r="BI7" i="3" s="1"/>
  <c r="BJ7" i="3" s="1"/>
  <c r="BK7" i="3" s="1"/>
  <c r="BL7" i="3" s="1"/>
  <c r="BM7" i="3" s="1"/>
  <c r="BN7" i="3" s="1"/>
  <c r="BO7" i="3" s="1"/>
  <c r="BP7" i="3" s="1"/>
  <c r="BQ7" i="3" s="1"/>
  <c r="BR7" i="3" s="1"/>
  <c r="BS7" i="3" s="1"/>
  <c r="BT7" i="3" s="1"/>
  <c r="BU7" i="3" s="1"/>
  <c r="BV7" i="3" s="1"/>
  <c r="BW7" i="3" s="1"/>
  <c r="BX7" i="3" s="1"/>
  <c r="BY7" i="3" s="1"/>
  <c r="BZ7" i="3" s="1"/>
  <c r="CA7" i="3" s="1"/>
  <c r="CB7" i="3" s="1"/>
  <c r="CC7" i="3" s="1"/>
  <c r="CD7" i="3" s="1"/>
  <c r="CE7" i="3" s="1"/>
  <c r="CF7" i="3" s="1"/>
  <c r="CG7" i="3" s="1"/>
  <c r="CH7" i="3" s="1"/>
  <c r="CI7" i="3" s="1"/>
  <c r="CJ7" i="3" s="1"/>
  <c r="CK7" i="3" s="1"/>
  <c r="CL7" i="3" s="1"/>
  <c r="CM7" i="3" s="1"/>
  <c r="CN7" i="3" s="1"/>
  <c r="CO7" i="3" s="1"/>
  <c r="CP7" i="3" s="1"/>
  <c r="CQ7" i="3" s="1"/>
  <c r="CR7" i="3" s="1"/>
  <c r="CS7" i="3" s="1"/>
  <c r="CT7" i="3" s="1"/>
  <c r="CU7" i="3" s="1"/>
  <c r="CV7" i="3" s="1"/>
  <c r="CW7" i="3" s="1"/>
  <c r="CX7" i="3" s="1"/>
  <c r="CY7" i="3" s="1"/>
  <c r="CZ7" i="3" s="1"/>
  <c r="DA7" i="3" s="1"/>
  <c r="DB7" i="3" s="1"/>
  <c r="DC7" i="3" s="1"/>
  <c r="DD7" i="3" s="1"/>
  <c r="DE7" i="3" s="1"/>
  <c r="DF7" i="3" s="1"/>
  <c r="DG7" i="3" s="1"/>
  <c r="DH7" i="3" s="1"/>
  <c r="DI7" i="3" s="1"/>
  <c r="DJ7" i="3" s="1"/>
  <c r="DK7" i="3" s="1"/>
  <c r="DL7" i="3" s="1"/>
  <c r="DM7" i="3" s="1"/>
  <c r="DN7" i="3" s="1"/>
  <c r="DO7" i="3" s="1"/>
  <c r="DP7" i="3" s="1"/>
  <c r="DQ7" i="3" s="1"/>
  <c r="DR7" i="3" s="1"/>
  <c r="DS7" i="3" s="1"/>
  <c r="DT7" i="3" s="1"/>
  <c r="DU7" i="3" s="1"/>
  <c r="DV7" i="3" s="1"/>
  <c r="DW7" i="3" s="1"/>
  <c r="DX7" i="3" s="1"/>
  <c r="DY7" i="3" s="1"/>
  <c r="DZ7" i="3" s="1"/>
  <c r="EA7" i="3" s="1"/>
  <c r="EB7" i="3" s="1"/>
  <c r="EC7" i="3" s="1"/>
  <c r="ED7" i="3" s="1"/>
  <c r="EE7" i="3" s="1"/>
  <c r="EF7" i="3" s="1"/>
  <c r="EG7" i="3" s="1"/>
  <c r="EH7" i="3" s="1"/>
  <c r="EI7" i="3" s="1"/>
  <c r="EJ7" i="3" s="1"/>
  <c r="EK7" i="3" s="1"/>
  <c r="EL7" i="3" s="1"/>
  <c r="EM7" i="3" s="1"/>
  <c r="EN7" i="3" s="1"/>
  <c r="EO7" i="3" s="1"/>
  <c r="EP7" i="3" s="1"/>
  <c r="EQ7" i="3" s="1"/>
  <c r="ER7" i="3" s="1"/>
  <c r="ES7" i="3" s="1"/>
  <c r="ET7" i="3" s="1"/>
  <c r="EU7" i="3" s="1"/>
  <c r="EV7" i="3" s="1"/>
  <c r="EW7" i="3" s="1"/>
  <c r="EX7" i="3" s="1"/>
  <c r="EY7" i="3" s="1"/>
  <c r="EZ7" i="3" s="1"/>
  <c r="FA7" i="3" s="1"/>
  <c r="FB7" i="3" s="1"/>
  <c r="FC7" i="3" s="1"/>
  <c r="FD7" i="3" s="1"/>
  <c r="FE7" i="3" s="1"/>
  <c r="FF7" i="3" s="1"/>
  <c r="FG7" i="3" s="1"/>
  <c r="FH7" i="3" s="1"/>
  <c r="FI7" i="3" s="1"/>
  <c r="FJ7" i="3" s="1"/>
  <c r="FK7" i="3" s="1"/>
  <c r="FL7" i="3" s="1"/>
  <c r="FM7" i="3" s="1"/>
  <c r="FN7" i="3" s="1"/>
  <c r="FO7" i="3" s="1"/>
  <c r="FP7" i="3" s="1"/>
  <c r="FQ7" i="3" s="1"/>
  <c r="FR7" i="3" s="1"/>
  <c r="FS7" i="3" s="1"/>
  <c r="FT7" i="3" s="1"/>
  <c r="FU7" i="3" s="1"/>
  <c r="FV7" i="3" s="1"/>
  <c r="FW7" i="3" s="1"/>
  <c r="FX7" i="3" s="1"/>
  <c r="FY7" i="3" s="1"/>
  <c r="FZ7" i="3" s="1"/>
  <c r="GA7" i="3" s="1"/>
  <c r="GB7" i="3" s="1"/>
  <c r="GC7" i="3" s="1"/>
  <c r="GD7" i="3" s="1"/>
  <c r="GE7" i="3" s="1"/>
  <c r="GF7" i="3" s="1"/>
  <c r="GG7" i="3" s="1"/>
  <c r="GH7" i="3" s="1"/>
  <c r="GI7" i="3" s="1"/>
  <c r="GJ7" i="3" s="1"/>
  <c r="GK7" i="3" s="1"/>
  <c r="GL7" i="3" s="1"/>
  <c r="GM7" i="3" s="1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C6" i="2"/>
  <c r="D6" i="2" s="1"/>
  <c r="E6" i="2" s="1"/>
  <c r="F6" i="2" s="1"/>
  <c r="B6" i="2"/>
  <c r="F35" i="1"/>
  <c r="E35" i="1"/>
  <c r="D35" i="1"/>
  <c r="C35" i="1"/>
  <c r="G9" i="2" l="1"/>
  <c r="I11" i="3" s="1"/>
  <c r="G12" i="2"/>
  <c r="I14" i="3" s="1"/>
  <c r="G17" i="2"/>
  <c r="I19" i="3" s="1"/>
  <c r="G7" i="2"/>
  <c r="I9" i="3" s="1"/>
  <c r="G10" i="2"/>
  <c r="I12" i="3" s="1"/>
  <c r="G15" i="2"/>
  <c r="I17" i="3" s="1"/>
  <c r="G8" i="2"/>
  <c r="I10" i="3" s="1"/>
  <c r="G13" i="2"/>
  <c r="I15" i="3" s="1"/>
  <c r="G16" i="2"/>
  <c r="I18" i="3" s="1"/>
  <c r="G11" i="2"/>
  <c r="I13" i="3" s="1"/>
  <c r="G14" i="2"/>
  <c r="I16" i="3" s="1"/>
  <c r="G33" i="3"/>
  <c r="L15" i="3" s="1"/>
  <c r="H33" i="3"/>
  <c r="K19" i="3" l="1"/>
  <c r="K11" i="3"/>
  <c r="L13" i="3"/>
  <c r="L27" i="3"/>
  <c r="L9" i="3"/>
  <c r="L22" i="3"/>
  <c r="L16" i="3"/>
  <c r="L29" i="3"/>
  <c r="L25" i="3"/>
  <c r="L14" i="3"/>
  <c r="L11" i="3"/>
  <c r="K9" i="3"/>
  <c r="K17" i="3"/>
  <c r="L31" i="3"/>
  <c r="L12" i="3"/>
  <c r="M12" i="3" s="1"/>
  <c r="L10" i="3"/>
  <c r="K15" i="3"/>
  <c r="L23" i="3"/>
  <c r="K16" i="3"/>
  <c r="L17" i="3"/>
  <c r="J33" i="3"/>
  <c r="M13" i="3" s="1"/>
  <c r="K18" i="3"/>
  <c r="K13" i="3"/>
  <c r="K14" i="3"/>
  <c r="K12" i="3"/>
  <c r="K10" i="3"/>
  <c r="L28" i="3"/>
  <c r="L20" i="3"/>
  <c r="L19" i="3"/>
  <c r="L32" i="3"/>
  <c r="L24" i="3"/>
  <c r="L30" i="3"/>
  <c r="L26" i="3"/>
  <c r="L18" i="3"/>
  <c r="L21" i="3"/>
  <c r="M11" i="3" l="1"/>
  <c r="M16" i="3"/>
  <c r="M14" i="3"/>
  <c r="M18" i="3"/>
  <c r="M19" i="3"/>
  <c r="M9" i="3"/>
  <c r="N33" i="3" s="1"/>
  <c r="M10" i="3"/>
  <c r="M15" i="3"/>
  <c r="M17" i="3"/>
  <c r="L33" i="3"/>
  <c r="O19" i="3" l="1"/>
  <c r="P19" i="3" s="1"/>
  <c r="O18" i="3"/>
  <c r="P18" i="3" s="1"/>
  <c r="O17" i="3"/>
  <c r="P17" i="3" s="1"/>
  <c r="O15" i="3"/>
  <c r="P15" i="3" s="1"/>
  <c r="O16" i="3"/>
  <c r="P16" i="3" s="1"/>
  <c r="O14" i="3"/>
  <c r="P14" i="3" s="1"/>
  <c r="O12" i="3"/>
  <c r="P12" i="3" s="1"/>
  <c r="O11" i="3"/>
  <c r="P11" i="3" s="1"/>
  <c r="O10" i="3"/>
  <c r="P10" i="3" s="1"/>
  <c r="O9" i="3"/>
  <c r="P9" i="3" s="1"/>
  <c r="O13" i="3"/>
  <c r="P13" i="3" s="1"/>
  <c r="P33" i="3" l="1"/>
  <c r="Q19" i="3" l="1"/>
  <c r="Q18" i="3"/>
  <c r="Q17" i="3"/>
  <c r="Q14" i="3"/>
  <c r="Q13" i="3"/>
  <c r="Q12" i="3"/>
  <c r="Q15" i="3"/>
  <c r="Q16" i="3"/>
  <c r="Q11" i="3"/>
  <c r="Q10" i="3"/>
  <c r="Q9" i="3"/>
  <c r="Q31" i="3"/>
  <c r="Q23" i="3"/>
  <c r="Q28" i="3"/>
  <c r="Q30" i="3"/>
  <c r="Q22" i="3"/>
  <c r="Q20" i="3"/>
  <c r="Q29" i="3"/>
  <c r="Q21" i="3"/>
  <c r="Q27" i="3"/>
  <c r="Q26" i="3"/>
  <c r="Q24" i="3"/>
  <c r="Q25" i="3"/>
  <c r="Q32" i="3"/>
  <c r="T15" i="3" l="1"/>
  <c r="T12" i="3"/>
  <c r="T16" i="3"/>
  <c r="T13" i="3"/>
  <c r="T17" i="3"/>
  <c r="T10" i="3"/>
  <c r="T18" i="3"/>
  <c r="T14" i="3"/>
  <c r="Q33" i="3"/>
  <c r="R33" i="3" s="1"/>
  <c r="T9" i="3"/>
  <c r="S33" i="3" s="1"/>
  <c r="T11" i="3"/>
  <c r="T19" i="3"/>
  <c r="U18" i="3" l="1"/>
  <c r="V18" i="3" s="1"/>
  <c r="U17" i="3"/>
  <c r="V17" i="3" s="1"/>
  <c r="U16" i="3"/>
  <c r="V16" i="3" s="1"/>
  <c r="U19" i="3"/>
  <c r="V19" i="3" s="1"/>
  <c r="U14" i="3"/>
  <c r="V14" i="3" s="1"/>
  <c r="U13" i="3"/>
  <c r="V13" i="3" s="1"/>
  <c r="U12" i="3"/>
  <c r="V12" i="3" s="1"/>
  <c r="U11" i="3"/>
  <c r="V11" i="3" s="1"/>
  <c r="U10" i="3"/>
  <c r="V10" i="3" s="1"/>
  <c r="U9" i="3"/>
  <c r="V9" i="3" s="1"/>
  <c r="U15" i="3"/>
  <c r="V15" i="3" s="1"/>
  <c r="V33" i="3" l="1"/>
  <c r="W19" i="3" l="1"/>
  <c r="W20" i="3"/>
  <c r="W12" i="3"/>
  <c r="W31" i="3"/>
  <c r="W17" i="3"/>
  <c r="W16" i="3"/>
  <c r="W10" i="3"/>
  <c r="W21" i="3"/>
  <c r="W13" i="3"/>
  <c r="W11" i="3"/>
  <c r="W15" i="3"/>
  <c r="W23" i="3"/>
  <c r="W28" i="3"/>
  <c r="W9" i="3"/>
  <c r="W27" i="3"/>
  <c r="W30" i="3"/>
  <c r="W32" i="3"/>
  <c r="W22" i="3"/>
  <c r="W18" i="3"/>
  <c r="W29" i="3"/>
  <c r="W14" i="3"/>
  <c r="W24" i="3"/>
  <c r="W26" i="3"/>
  <c r="W25" i="3"/>
  <c r="Z10" i="3" l="1"/>
  <c r="W33" i="3"/>
  <c r="X33" i="3" s="1"/>
  <c r="Z9" i="3"/>
  <c r="Z16" i="3"/>
  <c r="Z18" i="3"/>
  <c r="Z15" i="3"/>
  <c r="Z12" i="3"/>
  <c r="Z14" i="3"/>
  <c r="Z11" i="3"/>
  <c r="Z17" i="3"/>
  <c r="Z13" i="3"/>
  <c r="Z19" i="3"/>
  <c r="Y33" i="3" l="1"/>
  <c r="AA19" i="3" s="1"/>
  <c r="AB19" i="3" s="1"/>
  <c r="AA13" i="3" l="1"/>
  <c r="AB13" i="3" s="1"/>
  <c r="AA17" i="3"/>
  <c r="AB17" i="3" s="1"/>
  <c r="AA16" i="3"/>
  <c r="AB16" i="3" s="1"/>
  <c r="AA18" i="3"/>
  <c r="AB18" i="3" s="1"/>
  <c r="AA11" i="3"/>
  <c r="AB11" i="3" s="1"/>
  <c r="AA12" i="3"/>
  <c r="AB12" i="3" s="1"/>
  <c r="AA14" i="3"/>
  <c r="AB14" i="3" s="1"/>
  <c r="AA15" i="3"/>
  <c r="AB15" i="3" s="1"/>
  <c r="AA9" i="3"/>
  <c r="AB9" i="3" s="1"/>
  <c r="AA10" i="3"/>
  <c r="AB10" i="3" s="1"/>
  <c r="AB33" i="3" l="1"/>
  <c r="AC31" i="3"/>
  <c r="AC20" i="3"/>
  <c r="AC11" i="3"/>
  <c r="AC26" i="3"/>
  <c r="AC10" i="3"/>
  <c r="AC23" i="3"/>
  <c r="AC17" i="3"/>
  <c r="AC9" i="3"/>
  <c r="AC15" i="3"/>
  <c r="AC19" i="3"/>
  <c r="AC21" i="3"/>
  <c r="AC12" i="3"/>
  <c r="AC28" i="3"/>
  <c r="AC22" i="3"/>
  <c r="AC30" i="3"/>
  <c r="AC24" i="3"/>
  <c r="AC14" i="3"/>
  <c r="AC13" i="3"/>
  <c r="AC32" i="3"/>
  <c r="AC25" i="3"/>
  <c r="AC16" i="3"/>
  <c r="AC27" i="3"/>
  <c r="AC29" i="3"/>
  <c r="AC18" i="3"/>
  <c r="AF18" i="3" l="1"/>
  <c r="AF17" i="3"/>
  <c r="AF16" i="3"/>
  <c r="AC33" i="3"/>
  <c r="AD33" i="3" s="1"/>
  <c r="AF9" i="3"/>
  <c r="AF10" i="3"/>
  <c r="AF12" i="3"/>
  <c r="AF13" i="3"/>
  <c r="AF11" i="3"/>
  <c r="AF19" i="3"/>
  <c r="AF14" i="3"/>
  <c r="AF15" i="3"/>
  <c r="AE33" i="3" l="1"/>
  <c r="AG19" i="3" l="1"/>
  <c r="AH19" i="3" s="1"/>
  <c r="AG18" i="3"/>
  <c r="AH18" i="3" s="1"/>
  <c r="AG17" i="3"/>
  <c r="AH17" i="3" s="1"/>
  <c r="AG16" i="3"/>
  <c r="AH16" i="3" s="1"/>
  <c r="AG14" i="3"/>
  <c r="AH14" i="3" s="1"/>
  <c r="AG13" i="3"/>
  <c r="AH13" i="3" s="1"/>
  <c r="AG12" i="3"/>
  <c r="AH12" i="3" s="1"/>
  <c r="AG15" i="3"/>
  <c r="AH15" i="3" s="1"/>
  <c r="AG11" i="3"/>
  <c r="AH11" i="3" s="1"/>
  <c r="AG10" i="3"/>
  <c r="AH10" i="3" s="1"/>
  <c r="AG9" i="3"/>
  <c r="AH9" i="3" s="1"/>
  <c r="AH33" i="3" l="1"/>
  <c r="AI25" i="3" l="1"/>
  <c r="AI23" i="3"/>
  <c r="AI9" i="3"/>
  <c r="AI31" i="3"/>
  <c r="AI26" i="3"/>
  <c r="AI18" i="3"/>
  <c r="AI28" i="3"/>
  <c r="AI20" i="3"/>
  <c r="AI11" i="3"/>
  <c r="AI15" i="3"/>
  <c r="AI32" i="3"/>
  <c r="AI30" i="3"/>
  <c r="AI27" i="3"/>
  <c r="AI29" i="3"/>
  <c r="AI24" i="3"/>
  <c r="AI22" i="3"/>
  <c r="AI21" i="3"/>
  <c r="AI14" i="3"/>
  <c r="AI13" i="3"/>
  <c r="AI17" i="3"/>
  <c r="AI12" i="3"/>
  <c r="AI16" i="3"/>
  <c r="AI19" i="3"/>
  <c r="AI10" i="3"/>
  <c r="AL16" i="3" l="1"/>
  <c r="AL17" i="3"/>
  <c r="AL13" i="3"/>
  <c r="AI33" i="3"/>
  <c r="AJ33" i="3" s="1"/>
  <c r="AL9" i="3"/>
  <c r="AL19" i="3"/>
  <c r="AL12" i="3"/>
  <c r="AL14" i="3"/>
  <c r="AL15" i="3"/>
  <c r="AL10" i="3"/>
  <c r="AL18" i="3"/>
  <c r="AL11" i="3"/>
  <c r="AK33" i="3" l="1"/>
  <c r="AM19" i="3" l="1"/>
  <c r="AN19" i="3" s="1"/>
  <c r="AM18" i="3"/>
  <c r="AN18" i="3" s="1"/>
  <c r="AM16" i="3"/>
  <c r="AN16" i="3" s="1"/>
  <c r="AM17" i="3"/>
  <c r="AN17" i="3" s="1"/>
  <c r="AM14" i="3"/>
  <c r="AN14" i="3" s="1"/>
  <c r="AM15" i="3"/>
  <c r="AN15" i="3" s="1"/>
  <c r="AM11" i="3"/>
  <c r="AN11" i="3" s="1"/>
  <c r="AM10" i="3"/>
  <c r="AN10" i="3" s="1"/>
  <c r="AM9" i="3"/>
  <c r="AN9" i="3" s="1"/>
  <c r="AM13" i="3"/>
  <c r="AN13" i="3" s="1"/>
  <c r="AM12" i="3"/>
  <c r="AN12" i="3" s="1"/>
  <c r="AN33" i="3" l="1"/>
  <c r="AO29" i="3" l="1"/>
  <c r="AO15" i="3"/>
  <c r="AO9" i="3"/>
  <c r="AO32" i="3"/>
  <c r="AO21" i="3"/>
  <c r="AO14" i="3"/>
  <c r="AO31" i="3"/>
  <c r="AO12" i="3"/>
  <c r="AO24" i="3"/>
  <c r="AO22" i="3"/>
  <c r="AO16" i="3"/>
  <c r="AO17" i="3"/>
  <c r="AO26" i="3"/>
  <c r="AO19" i="3"/>
  <c r="AO13" i="3"/>
  <c r="AO18" i="3"/>
  <c r="AO23" i="3"/>
  <c r="AO28" i="3"/>
  <c r="AO25" i="3"/>
  <c r="AO30" i="3"/>
  <c r="AO11" i="3"/>
  <c r="AO27" i="3"/>
  <c r="AO20" i="3"/>
  <c r="AO10" i="3"/>
  <c r="AR19" i="3" l="1"/>
  <c r="AR14" i="3"/>
  <c r="AR12" i="3"/>
  <c r="AR17" i="3"/>
  <c r="AR16" i="3"/>
  <c r="AO33" i="3"/>
  <c r="AP33" i="3" s="1"/>
  <c r="AR9" i="3"/>
  <c r="AR10" i="3"/>
  <c r="AR13" i="3"/>
  <c r="AR11" i="3"/>
  <c r="AR15" i="3"/>
  <c r="AR18" i="3"/>
  <c r="AQ33" i="3" l="1"/>
  <c r="AS19" i="3" l="1"/>
  <c r="AT19" i="3" s="1"/>
  <c r="AS17" i="3"/>
  <c r="AT17" i="3" s="1"/>
  <c r="AS16" i="3"/>
  <c r="AT16" i="3" s="1"/>
  <c r="AS18" i="3"/>
  <c r="AT18" i="3" s="1"/>
  <c r="AS15" i="3"/>
  <c r="AT15" i="3" s="1"/>
  <c r="AS14" i="3"/>
  <c r="AT14" i="3" s="1"/>
  <c r="AS13" i="3"/>
  <c r="AT13" i="3" s="1"/>
  <c r="AS12" i="3"/>
  <c r="AT12" i="3" s="1"/>
  <c r="AS11" i="3"/>
  <c r="AT11" i="3" s="1"/>
  <c r="AS10" i="3"/>
  <c r="AT10" i="3" s="1"/>
  <c r="AS9" i="3"/>
  <c r="AT9" i="3" s="1"/>
  <c r="AT33" i="3" l="1"/>
  <c r="AU27" i="3" l="1"/>
  <c r="AU15" i="3"/>
  <c r="AU9" i="3"/>
  <c r="AU23" i="3"/>
  <c r="AU18" i="3"/>
  <c r="AU28" i="3"/>
  <c r="AU29" i="3"/>
  <c r="AU14" i="3"/>
  <c r="AU20" i="3"/>
  <c r="AU25" i="3"/>
  <c r="AU13" i="3"/>
  <c r="AU12" i="3"/>
  <c r="AU17" i="3"/>
  <c r="AU16" i="3"/>
  <c r="AU31" i="3"/>
  <c r="AU32" i="3"/>
  <c r="AU21" i="3"/>
  <c r="AU26" i="3"/>
  <c r="AU24" i="3"/>
  <c r="AU22" i="3"/>
  <c r="AU19" i="3"/>
  <c r="AU30" i="3"/>
  <c r="AU10" i="3"/>
  <c r="AU11" i="3"/>
  <c r="AX14" i="3" l="1"/>
  <c r="AX16" i="3"/>
  <c r="AX18" i="3"/>
  <c r="AX12" i="3"/>
  <c r="AX10" i="3"/>
  <c r="AX19" i="3"/>
  <c r="AX13" i="3"/>
  <c r="AU33" i="3"/>
  <c r="AV33" i="3" s="1"/>
  <c r="AX9" i="3"/>
  <c r="AX15" i="3"/>
  <c r="AX11" i="3"/>
  <c r="AX17" i="3"/>
  <c r="AW33" i="3" l="1"/>
  <c r="AY19" i="3" s="1"/>
  <c r="AZ19" i="3" s="1"/>
  <c r="AY11" i="3" l="1"/>
  <c r="AZ11" i="3" s="1"/>
  <c r="AY10" i="3"/>
  <c r="AZ10" i="3" s="1"/>
  <c r="AY13" i="3"/>
  <c r="AZ13" i="3" s="1"/>
  <c r="AY15" i="3"/>
  <c r="AZ15" i="3" s="1"/>
  <c r="AY16" i="3"/>
  <c r="AZ16" i="3" s="1"/>
  <c r="AY12" i="3"/>
  <c r="AZ12" i="3" s="1"/>
  <c r="AY17" i="3"/>
  <c r="AZ17" i="3" s="1"/>
  <c r="AY14" i="3"/>
  <c r="AZ14" i="3" s="1"/>
  <c r="AY18" i="3"/>
  <c r="AZ18" i="3" s="1"/>
  <c r="AY9" i="3"/>
  <c r="AZ9" i="3" s="1"/>
  <c r="AZ33" i="3" l="1"/>
  <c r="BA24" i="3"/>
  <c r="BA21" i="3"/>
  <c r="BA15" i="3"/>
  <c r="BA30" i="3"/>
  <c r="BA11" i="3"/>
  <c r="BA10" i="3"/>
  <c r="BA25" i="3"/>
  <c r="BA18" i="3"/>
  <c r="BA27" i="3"/>
  <c r="BA16" i="3"/>
  <c r="BA29" i="3"/>
  <c r="BA9" i="3"/>
  <c r="BA28" i="3"/>
  <c r="BA23" i="3"/>
  <c r="BA14" i="3"/>
  <c r="BA32" i="3"/>
  <c r="BA22" i="3"/>
  <c r="BA31" i="3"/>
  <c r="BA17" i="3"/>
  <c r="BA20" i="3"/>
  <c r="BA19" i="3"/>
  <c r="BA13" i="3"/>
  <c r="BA12" i="3"/>
  <c r="BA26" i="3"/>
  <c r="BD14" i="3" l="1"/>
  <c r="BD13" i="3"/>
  <c r="BD10" i="3"/>
  <c r="BD18" i="3"/>
  <c r="BD11" i="3"/>
  <c r="BA33" i="3"/>
  <c r="BB33" i="3" s="1"/>
  <c r="BD9" i="3"/>
  <c r="BD17" i="3"/>
  <c r="BD15" i="3"/>
  <c r="BD16" i="3"/>
  <c r="BD12" i="3"/>
  <c r="BD19" i="3"/>
  <c r="BC33" i="3" l="1"/>
  <c r="BE17" i="3" l="1"/>
  <c r="BF17" i="3" s="1"/>
  <c r="BE16" i="3"/>
  <c r="BF16" i="3" s="1"/>
  <c r="BE14" i="3"/>
  <c r="BF14" i="3" s="1"/>
  <c r="BE13" i="3"/>
  <c r="BF13" i="3" s="1"/>
  <c r="BE12" i="3"/>
  <c r="BF12" i="3" s="1"/>
  <c r="BE15" i="3"/>
  <c r="BF15" i="3" s="1"/>
  <c r="BE19" i="3"/>
  <c r="BF19" i="3" s="1"/>
  <c r="BE18" i="3"/>
  <c r="BF18" i="3" s="1"/>
  <c r="BE11" i="3"/>
  <c r="BF11" i="3" s="1"/>
  <c r="BE10" i="3"/>
  <c r="BF10" i="3" s="1"/>
  <c r="BE9" i="3"/>
  <c r="BF9" i="3" s="1"/>
  <c r="BF33" i="3" l="1"/>
  <c r="BG25" i="3" l="1"/>
  <c r="BG16" i="3"/>
  <c r="BG9" i="3"/>
  <c r="BG24" i="3"/>
  <c r="BG15" i="3"/>
  <c r="BG31" i="3"/>
  <c r="BG23" i="3"/>
  <c r="BG18" i="3"/>
  <c r="BG30" i="3"/>
  <c r="BG22" i="3"/>
  <c r="BG14" i="3"/>
  <c r="BG12" i="3"/>
  <c r="BG19" i="3"/>
  <c r="BG11" i="3"/>
  <c r="BG17" i="3"/>
  <c r="BG32" i="3"/>
  <c r="BG29" i="3"/>
  <c r="BG21" i="3"/>
  <c r="BG13" i="3"/>
  <c r="BG28" i="3"/>
  <c r="BG20" i="3"/>
  <c r="BG27" i="3"/>
  <c r="BG26" i="3"/>
  <c r="BG10" i="3"/>
  <c r="BJ17" i="3" l="1"/>
  <c r="BJ10" i="3"/>
  <c r="BJ18" i="3"/>
  <c r="BJ11" i="3"/>
  <c r="BJ13" i="3"/>
  <c r="BJ14" i="3"/>
  <c r="BG33" i="3"/>
  <c r="BH33" i="3" s="1"/>
  <c r="BJ9" i="3"/>
  <c r="BJ19" i="3"/>
  <c r="BJ15" i="3"/>
  <c r="BJ16" i="3"/>
  <c r="BJ12" i="3"/>
  <c r="BI33" i="3" l="1"/>
  <c r="BK19" i="3" l="1"/>
  <c r="BL19" i="3" s="1"/>
  <c r="BK18" i="3"/>
  <c r="BL18" i="3" s="1"/>
  <c r="BK17" i="3"/>
  <c r="BL17" i="3" s="1"/>
  <c r="BK15" i="3"/>
  <c r="BL15" i="3" s="1"/>
  <c r="BK16" i="3"/>
  <c r="BL16" i="3" s="1"/>
  <c r="BK12" i="3"/>
  <c r="BL12" i="3" s="1"/>
  <c r="BK14" i="3"/>
  <c r="BL14" i="3" s="1"/>
  <c r="BK11" i="3"/>
  <c r="BL11" i="3" s="1"/>
  <c r="BK10" i="3"/>
  <c r="BL10" i="3" s="1"/>
  <c r="BK9" i="3"/>
  <c r="BL9" i="3" s="1"/>
  <c r="BK13" i="3"/>
  <c r="BL13" i="3" s="1"/>
  <c r="BL33" i="3" l="1"/>
  <c r="BM32" i="3" l="1"/>
  <c r="BM31" i="3"/>
  <c r="BM17" i="3"/>
  <c r="BM9" i="3"/>
  <c r="BM16" i="3"/>
  <c r="BM28" i="3"/>
  <c r="BM20" i="3"/>
  <c r="BM14" i="3"/>
  <c r="BM30" i="3"/>
  <c r="BM19" i="3"/>
  <c r="BM22" i="3"/>
  <c r="BM18" i="3"/>
  <c r="BM26" i="3"/>
  <c r="BM27" i="3"/>
  <c r="BM25" i="3"/>
  <c r="BM13" i="3"/>
  <c r="BM12" i="3"/>
  <c r="BM23" i="3"/>
  <c r="BM24" i="3"/>
  <c r="BM21" i="3"/>
  <c r="BM15" i="3"/>
  <c r="BM29" i="3"/>
  <c r="BM11" i="3"/>
  <c r="BM10" i="3"/>
  <c r="BP13" i="3" l="1"/>
  <c r="BP15" i="3"/>
  <c r="BP16" i="3"/>
  <c r="BP18" i="3"/>
  <c r="BM33" i="3"/>
  <c r="BN33" i="3" s="1"/>
  <c r="BP9" i="3"/>
  <c r="BP14" i="3"/>
  <c r="BP17" i="3"/>
  <c r="BP19" i="3"/>
  <c r="BP10" i="3"/>
  <c r="BP11" i="3"/>
  <c r="BP12" i="3"/>
  <c r="BO33" i="3" l="1"/>
  <c r="BQ19" i="3" l="1"/>
  <c r="BR19" i="3" s="1"/>
  <c r="BQ18" i="3"/>
  <c r="BR18" i="3" s="1"/>
  <c r="BQ17" i="3"/>
  <c r="BR17" i="3" s="1"/>
  <c r="BQ16" i="3"/>
  <c r="BR16" i="3" s="1"/>
  <c r="BQ14" i="3"/>
  <c r="BR14" i="3" s="1"/>
  <c r="BQ13" i="3"/>
  <c r="BR13" i="3" s="1"/>
  <c r="BQ12" i="3"/>
  <c r="BR12" i="3" s="1"/>
  <c r="BQ11" i="3"/>
  <c r="BR11" i="3" s="1"/>
  <c r="BQ10" i="3"/>
  <c r="BR10" i="3" s="1"/>
  <c r="BQ9" i="3"/>
  <c r="BR9" i="3" s="1"/>
  <c r="BQ15" i="3"/>
  <c r="BR15" i="3" s="1"/>
  <c r="BR33" i="3" l="1"/>
  <c r="BS32" i="3" l="1"/>
  <c r="BS24" i="3"/>
  <c r="BS9" i="3"/>
  <c r="BS31" i="3"/>
  <c r="BS20" i="3"/>
  <c r="BS22" i="3"/>
  <c r="BS25" i="3"/>
  <c r="BS14" i="3"/>
  <c r="BS29" i="3"/>
  <c r="BS17" i="3"/>
  <c r="BS21" i="3"/>
  <c r="BS19" i="3"/>
  <c r="BS26" i="3"/>
  <c r="BS30" i="3"/>
  <c r="BS18" i="3"/>
  <c r="BS16" i="3"/>
  <c r="BS11" i="3"/>
  <c r="BS10" i="3"/>
  <c r="BS27" i="3"/>
  <c r="BS23" i="3"/>
  <c r="BS13" i="3"/>
  <c r="BS12" i="3"/>
  <c r="BS15" i="3"/>
  <c r="BS28" i="3"/>
  <c r="BV18" i="3" l="1"/>
  <c r="BV14" i="3"/>
  <c r="BV19" i="3"/>
  <c r="BS33" i="3"/>
  <c r="BT33" i="3" s="1"/>
  <c r="BV9" i="3"/>
  <c r="BV15" i="3"/>
  <c r="BV12" i="3"/>
  <c r="BV13" i="3"/>
  <c r="BV10" i="3"/>
  <c r="BV17" i="3"/>
  <c r="BV16" i="3"/>
  <c r="BV11" i="3"/>
  <c r="BU33" i="3" l="1"/>
  <c r="BW19" i="3" l="1"/>
  <c r="BX19" i="3" s="1"/>
  <c r="BW18" i="3"/>
  <c r="BX18" i="3" s="1"/>
  <c r="BW16" i="3"/>
  <c r="BX16" i="3" s="1"/>
  <c r="BW15" i="3"/>
  <c r="BX15" i="3" s="1"/>
  <c r="BW17" i="3"/>
  <c r="BX17" i="3" s="1"/>
  <c r="BW13" i="3"/>
  <c r="BX13" i="3" s="1"/>
  <c r="BW12" i="3"/>
  <c r="BX12" i="3" s="1"/>
  <c r="BW11" i="3"/>
  <c r="BX11" i="3" s="1"/>
  <c r="BW10" i="3"/>
  <c r="BX10" i="3" s="1"/>
  <c r="BW9" i="3"/>
  <c r="BX9" i="3" s="1"/>
  <c r="BW14" i="3"/>
  <c r="BX14" i="3" s="1"/>
  <c r="BX33" i="3" l="1"/>
  <c r="BY32" i="3" l="1"/>
  <c r="BY30" i="3"/>
  <c r="BY15" i="3"/>
  <c r="BY9" i="3"/>
  <c r="BY22" i="3"/>
  <c r="BY14" i="3"/>
  <c r="BY27" i="3"/>
  <c r="BY13" i="3"/>
  <c r="BY12" i="3"/>
  <c r="BY26" i="3"/>
  <c r="BY31" i="3"/>
  <c r="BY23" i="3"/>
  <c r="BY25" i="3"/>
  <c r="BY19" i="3"/>
  <c r="BY29" i="3"/>
  <c r="BY21" i="3"/>
  <c r="BY16" i="3"/>
  <c r="BY10" i="3"/>
  <c r="BY24" i="3"/>
  <c r="BY18" i="3"/>
  <c r="BY20" i="3"/>
  <c r="BY17" i="3"/>
  <c r="BY11" i="3"/>
  <c r="BY28" i="3"/>
  <c r="CB14" i="3" l="1"/>
  <c r="CB13" i="3"/>
  <c r="CB17" i="3"/>
  <c r="BY33" i="3"/>
  <c r="BZ33" i="3" s="1"/>
  <c r="CB9" i="3"/>
  <c r="CB15" i="3"/>
  <c r="CB11" i="3"/>
  <c r="CB19" i="3"/>
  <c r="CB10" i="3"/>
  <c r="CB18" i="3"/>
  <c r="CB16" i="3"/>
  <c r="CB12" i="3"/>
  <c r="CA33" i="3" l="1"/>
  <c r="CC18" i="3" l="1"/>
  <c r="CD18" i="3" s="1"/>
  <c r="CC17" i="3"/>
  <c r="CD17" i="3" s="1"/>
  <c r="CC16" i="3"/>
  <c r="CD16" i="3" s="1"/>
  <c r="CC19" i="3"/>
  <c r="CD19" i="3" s="1"/>
  <c r="CC14" i="3"/>
  <c r="CD14" i="3" s="1"/>
  <c r="CC13" i="3"/>
  <c r="CD13" i="3" s="1"/>
  <c r="CC12" i="3"/>
  <c r="CD12" i="3" s="1"/>
  <c r="CC15" i="3"/>
  <c r="CD15" i="3" s="1"/>
  <c r="CC10" i="3"/>
  <c r="CD10" i="3" s="1"/>
  <c r="CC9" i="3"/>
  <c r="CD9" i="3" s="1"/>
  <c r="CC11" i="3"/>
  <c r="CD11" i="3" s="1"/>
  <c r="CD33" i="3" l="1"/>
  <c r="CE32" i="3" l="1"/>
  <c r="CE16" i="3"/>
  <c r="CE28" i="3"/>
  <c r="CE15" i="3"/>
  <c r="CE11" i="3"/>
  <c r="CE29" i="3"/>
  <c r="CE20" i="3"/>
  <c r="CE27" i="3"/>
  <c r="CE14" i="3"/>
  <c r="CE19" i="3"/>
  <c r="CE24" i="3"/>
  <c r="CE25" i="3"/>
  <c r="CE22" i="3"/>
  <c r="CE30" i="3"/>
  <c r="CE21" i="3"/>
  <c r="CE12" i="3"/>
  <c r="CE10" i="3"/>
  <c r="CE9" i="3"/>
  <c r="CE31" i="3"/>
  <c r="CE26" i="3"/>
  <c r="CE13" i="3"/>
  <c r="CE23" i="3"/>
  <c r="CE18" i="3"/>
  <c r="CE17" i="3"/>
  <c r="CH12" i="3" l="1"/>
  <c r="CH17" i="3"/>
  <c r="CH18" i="3"/>
  <c r="CH15" i="3"/>
  <c r="CH11" i="3"/>
  <c r="CE33" i="3"/>
  <c r="CF33" i="3" s="1"/>
  <c r="CH9" i="3"/>
  <c r="CH16" i="3"/>
  <c r="CH13" i="3"/>
  <c r="CH19" i="3"/>
  <c r="CH10" i="3"/>
  <c r="CH14" i="3"/>
  <c r="CG33" i="3" l="1"/>
  <c r="CI19" i="3" l="1"/>
  <c r="CJ19" i="3" s="1"/>
  <c r="CI18" i="3"/>
  <c r="CJ18" i="3" s="1"/>
  <c r="CI16" i="3"/>
  <c r="CJ16" i="3" s="1"/>
  <c r="CI14" i="3"/>
  <c r="CJ14" i="3" s="1"/>
  <c r="CI10" i="3"/>
  <c r="CJ10" i="3" s="1"/>
  <c r="CI9" i="3"/>
  <c r="CJ9" i="3" s="1"/>
  <c r="CI12" i="3"/>
  <c r="CJ12" i="3" s="1"/>
  <c r="CI17" i="3"/>
  <c r="CJ17" i="3" s="1"/>
  <c r="CI11" i="3"/>
  <c r="CJ11" i="3" s="1"/>
  <c r="CI15" i="3"/>
  <c r="CJ15" i="3" s="1"/>
  <c r="CI13" i="3"/>
  <c r="CJ13" i="3" s="1"/>
  <c r="CJ33" i="3" l="1"/>
  <c r="CK30" i="3" l="1"/>
  <c r="CK23" i="3"/>
  <c r="CK9" i="3"/>
  <c r="CK13" i="3"/>
  <c r="CK22" i="3"/>
  <c r="CK31" i="3"/>
  <c r="CK17" i="3"/>
  <c r="CK10" i="3"/>
  <c r="CK32" i="3"/>
  <c r="CK24" i="3"/>
  <c r="CK15" i="3"/>
  <c r="CK19" i="3"/>
  <c r="CK26" i="3"/>
  <c r="CK12" i="3"/>
  <c r="CK20" i="3"/>
  <c r="CK16" i="3"/>
  <c r="CK29" i="3"/>
  <c r="CK14" i="3"/>
  <c r="CK27" i="3"/>
  <c r="CK11" i="3"/>
  <c r="CK21" i="3"/>
  <c r="CK18" i="3"/>
  <c r="CK28" i="3"/>
  <c r="CK25" i="3"/>
  <c r="CN16" i="3" l="1"/>
  <c r="CN19" i="3"/>
  <c r="CN13" i="3"/>
  <c r="CN17" i="3"/>
  <c r="CN12" i="3"/>
  <c r="CN15" i="3"/>
  <c r="CK33" i="3"/>
  <c r="CL33" i="3" s="1"/>
  <c r="CN9" i="3"/>
  <c r="CN10" i="3"/>
  <c r="CN18" i="3"/>
  <c r="CN11" i="3"/>
  <c r="CN14" i="3"/>
  <c r="CM33" i="3" l="1"/>
  <c r="CO19" i="3" l="1"/>
  <c r="CP19" i="3" s="1"/>
  <c r="CO17" i="3"/>
  <c r="CP17" i="3" s="1"/>
  <c r="CO16" i="3"/>
  <c r="CP16" i="3" s="1"/>
  <c r="CO18" i="3"/>
  <c r="CP18" i="3" s="1"/>
  <c r="CO15" i="3"/>
  <c r="CP15" i="3" s="1"/>
  <c r="CO14" i="3"/>
  <c r="CP14" i="3" s="1"/>
  <c r="CO13" i="3"/>
  <c r="CP13" i="3" s="1"/>
  <c r="CO12" i="3"/>
  <c r="CP12" i="3" s="1"/>
  <c r="CO11" i="3"/>
  <c r="CP11" i="3" s="1"/>
  <c r="CO10" i="3"/>
  <c r="CP10" i="3" s="1"/>
  <c r="CO9" i="3"/>
  <c r="CP9" i="3" s="1"/>
  <c r="CP33" i="3" l="1"/>
  <c r="CQ27" i="3" l="1"/>
  <c r="CQ18" i="3"/>
  <c r="CQ11" i="3"/>
  <c r="CQ28" i="3"/>
  <c r="CQ24" i="3"/>
  <c r="CQ23" i="3"/>
  <c r="CQ16" i="3"/>
  <c r="CQ15" i="3"/>
  <c r="CQ9" i="3"/>
  <c r="CQ26" i="3"/>
  <c r="CQ29" i="3"/>
  <c r="CQ22" i="3"/>
  <c r="CQ19" i="3"/>
  <c r="CQ20" i="3"/>
  <c r="CQ31" i="3"/>
  <c r="CQ21" i="3"/>
  <c r="CQ14" i="3"/>
  <c r="CQ12" i="3"/>
  <c r="CQ30" i="3"/>
  <c r="CQ32" i="3"/>
  <c r="CQ17" i="3"/>
  <c r="CQ13" i="3"/>
  <c r="CQ25" i="3"/>
  <c r="CQ10" i="3"/>
  <c r="CT19" i="3" l="1"/>
  <c r="CT15" i="3"/>
  <c r="CT13" i="3"/>
  <c r="CT10" i="3"/>
  <c r="CT16" i="3"/>
  <c r="CT17" i="3"/>
  <c r="CT11" i="3"/>
  <c r="CT18" i="3"/>
  <c r="CT12" i="3"/>
  <c r="CT14" i="3"/>
  <c r="CQ33" i="3"/>
  <c r="CR33" i="3" s="1"/>
  <c r="CT9" i="3"/>
  <c r="CS33" i="3" l="1"/>
  <c r="CU19" i="3" l="1"/>
  <c r="CV19" i="3" s="1"/>
  <c r="CU18" i="3"/>
  <c r="CV18" i="3" s="1"/>
  <c r="CU17" i="3"/>
  <c r="CV17" i="3" s="1"/>
  <c r="CU15" i="3"/>
  <c r="CV15" i="3" s="1"/>
  <c r="CU12" i="3"/>
  <c r="CV12" i="3" s="1"/>
  <c r="CU16" i="3"/>
  <c r="CV16" i="3" s="1"/>
  <c r="CU13" i="3"/>
  <c r="CV13" i="3" s="1"/>
  <c r="CU11" i="3"/>
  <c r="CV11" i="3" s="1"/>
  <c r="CU10" i="3"/>
  <c r="CV10" i="3" s="1"/>
  <c r="CU9" i="3"/>
  <c r="CV9" i="3" s="1"/>
  <c r="CU14" i="3"/>
  <c r="CV14" i="3" s="1"/>
  <c r="CV33" i="3" l="1"/>
  <c r="CW26" i="3" l="1"/>
  <c r="CW13" i="3"/>
  <c r="CW9" i="3"/>
  <c r="CW12" i="3"/>
  <c r="CW23" i="3"/>
  <c r="CW29" i="3"/>
  <c r="CW28" i="3"/>
  <c r="CW32" i="3"/>
  <c r="CW20" i="3"/>
  <c r="CW25" i="3"/>
  <c r="CW17" i="3"/>
  <c r="CW16" i="3"/>
  <c r="CW10" i="3"/>
  <c r="CW31" i="3"/>
  <c r="CW19" i="3"/>
  <c r="CW18" i="3"/>
  <c r="CW24" i="3"/>
  <c r="CW30" i="3"/>
  <c r="CW22" i="3"/>
  <c r="CW27" i="3"/>
  <c r="CW21" i="3"/>
  <c r="CW15" i="3"/>
  <c r="CW11" i="3"/>
  <c r="CW14" i="3"/>
  <c r="CZ11" i="3" l="1"/>
  <c r="CZ16" i="3"/>
  <c r="CZ12" i="3"/>
  <c r="CZ14" i="3"/>
  <c r="CZ19" i="3"/>
  <c r="CZ15" i="3"/>
  <c r="CZ17" i="3"/>
  <c r="CW33" i="3"/>
  <c r="CX33" i="3" s="1"/>
  <c r="CZ9" i="3"/>
  <c r="CZ13" i="3"/>
  <c r="CZ18" i="3"/>
  <c r="CZ10" i="3"/>
  <c r="CY33" i="3" l="1"/>
  <c r="DA17" i="3" l="1"/>
  <c r="DB17" i="3" s="1"/>
  <c r="DA16" i="3"/>
  <c r="DB16" i="3" s="1"/>
  <c r="DA19" i="3"/>
  <c r="DB19" i="3" s="1"/>
  <c r="DA14" i="3"/>
  <c r="DB14" i="3" s="1"/>
  <c r="DA13" i="3"/>
  <c r="DB13" i="3" s="1"/>
  <c r="DA12" i="3"/>
  <c r="DB12" i="3" s="1"/>
  <c r="DA11" i="3"/>
  <c r="DB11" i="3" s="1"/>
  <c r="DA15" i="3"/>
  <c r="DB15" i="3" s="1"/>
  <c r="DA18" i="3"/>
  <c r="DB18" i="3" s="1"/>
  <c r="DA10" i="3"/>
  <c r="DB10" i="3" s="1"/>
  <c r="DA9" i="3"/>
  <c r="DB9" i="3" s="1"/>
  <c r="DB33" i="3" l="1"/>
  <c r="DC25" i="3" l="1"/>
  <c r="DC16" i="3"/>
  <c r="DC11" i="3"/>
  <c r="DC24" i="3"/>
  <c r="DC32" i="3"/>
  <c r="DC15" i="3"/>
  <c r="DC23" i="3"/>
  <c r="DC18" i="3"/>
  <c r="DC30" i="3"/>
  <c r="DC22" i="3"/>
  <c r="DC29" i="3"/>
  <c r="DC13" i="3"/>
  <c r="DC12" i="3"/>
  <c r="DC19" i="3"/>
  <c r="DC31" i="3"/>
  <c r="DC14" i="3"/>
  <c r="DC21" i="3"/>
  <c r="DC20" i="3"/>
  <c r="DC27" i="3"/>
  <c r="DC17" i="3"/>
  <c r="DC10" i="3"/>
  <c r="DC26" i="3"/>
  <c r="DC28" i="3"/>
  <c r="DC9" i="3"/>
  <c r="DC33" i="3" l="1"/>
  <c r="DD33" i="3" s="1"/>
  <c r="DF9" i="3"/>
  <c r="DF19" i="3"/>
  <c r="DF15" i="3"/>
  <c r="DF14" i="3"/>
  <c r="DF12" i="3"/>
  <c r="DF18" i="3"/>
  <c r="DF10" i="3"/>
  <c r="DF11" i="3"/>
  <c r="DF16" i="3"/>
  <c r="DF17" i="3"/>
  <c r="DF13" i="3"/>
  <c r="DE33" i="3" l="1"/>
  <c r="DG19" i="3" l="1"/>
  <c r="DH19" i="3" s="1"/>
  <c r="DG18" i="3"/>
  <c r="DH18" i="3" s="1"/>
  <c r="DG17" i="3"/>
  <c r="DH17" i="3" s="1"/>
  <c r="DG15" i="3"/>
  <c r="DH15" i="3" s="1"/>
  <c r="DG16" i="3"/>
  <c r="DH16" i="3" s="1"/>
  <c r="DG14" i="3"/>
  <c r="DH14" i="3" s="1"/>
  <c r="DG12" i="3"/>
  <c r="DH12" i="3" s="1"/>
  <c r="DG10" i="3"/>
  <c r="DH10" i="3" s="1"/>
  <c r="DG9" i="3"/>
  <c r="DH9" i="3" s="1"/>
  <c r="DG13" i="3"/>
  <c r="DH13" i="3" s="1"/>
  <c r="DG11" i="3"/>
  <c r="DH11" i="3" s="1"/>
  <c r="DH33" i="3" l="1"/>
  <c r="DI32" i="3" l="1"/>
  <c r="DI31" i="3"/>
  <c r="DI14" i="3"/>
  <c r="DI9" i="3"/>
  <c r="DI23" i="3"/>
  <c r="DI13" i="3"/>
  <c r="DI28" i="3"/>
  <c r="DI19" i="3"/>
  <c r="DI18" i="3"/>
  <c r="DI25" i="3"/>
  <c r="DI15" i="3"/>
  <c r="DI26" i="3"/>
  <c r="DI29" i="3"/>
  <c r="DI30" i="3"/>
  <c r="DI21" i="3"/>
  <c r="DI17" i="3"/>
  <c r="DI12" i="3"/>
  <c r="DI24" i="3"/>
  <c r="DI16" i="3"/>
  <c r="DI20" i="3"/>
  <c r="DI22" i="3"/>
  <c r="DI27" i="3"/>
  <c r="DI11" i="3"/>
  <c r="DI10" i="3"/>
  <c r="DL19" i="3" l="1"/>
  <c r="DL10" i="3"/>
  <c r="DL13" i="3"/>
  <c r="DL11" i="3"/>
  <c r="DI33" i="3"/>
  <c r="DJ33" i="3" s="1"/>
  <c r="DL9" i="3"/>
  <c r="DL16" i="3"/>
  <c r="DL15" i="3"/>
  <c r="DL14" i="3"/>
  <c r="DL17" i="3"/>
  <c r="DL12" i="3"/>
  <c r="DL18" i="3"/>
  <c r="DK33" i="3" l="1"/>
  <c r="DM19" i="3" l="1"/>
  <c r="DN19" i="3" s="1"/>
  <c r="DM18" i="3"/>
  <c r="DN18" i="3" s="1"/>
  <c r="DM17" i="3"/>
  <c r="DN17" i="3" s="1"/>
  <c r="DM16" i="3"/>
  <c r="DN16" i="3" s="1"/>
  <c r="DM14" i="3"/>
  <c r="DN14" i="3" s="1"/>
  <c r="DM13" i="3"/>
  <c r="DN13" i="3" s="1"/>
  <c r="DM12" i="3"/>
  <c r="DN12" i="3" s="1"/>
  <c r="DM11" i="3"/>
  <c r="DN11" i="3" s="1"/>
  <c r="DM15" i="3"/>
  <c r="DN15" i="3" s="1"/>
  <c r="DM10" i="3"/>
  <c r="DN10" i="3" s="1"/>
  <c r="DM9" i="3"/>
  <c r="DN9" i="3" s="1"/>
  <c r="DN33" i="3" l="1"/>
  <c r="DO26" i="3" l="1"/>
  <c r="DO21" i="3"/>
  <c r="DO11" i="3"/>
  <c r="DO32" i="3"/>
  <c r="DO14" i="3"/>
  <c r="DO30" i="3"/>
  <c r="DO20" i="3"/>
  <c r="DO22" i="3"/>
  <c r="DO12" i="3"/>
  <c r="DO17" i="3"/>
  <c r="DO10" i="3"/>
  <c r="DO29" i="3"/>
  <c r="DO25" i="3"/>
  <c r="DO31" i="3"/>
  <c r="DO23" i="3"/>
  <c r="DO28" i="3"/>
  <c r="DO27" i="3"/>
  <c r="DO24" i="3"/>
  <c r="DO16" i="3"/>
  <c r="DO18" i="3"/>
  <c r="DO13" i="3"/>
  <c r="DO19" i="3"/>
  <c r="DO15" i="3"/>
  <c r="DO9" i="3"/>
  <c r="DR14" i="3" l="1"/>
  <c r="DR15" i="3"/>
  <c r="DR13" i="3"/>
  <c r="DR19" i="3"/>
  <c r="DR16" i="3"/>
  <c r="DR10" i="3"/>
  <c r="DR11" i="3"/>
  <c r="DR17" i="3"/>
  <c r="DO33" i="3"/>
  <c r="DP33" i="3" s="1"/>
  <c r="DR9" i="3"/>
  <c r="DR18" i="3"/>
  <c r="DR12" i="3"/>
  <c r="DQ33" i="3" l="1"/>
  <c r="DS19" i="3" l="1"/>
  <c r="DT19" i="3" s="1"/>
  <c r="DS18" i="3"/>
  <c r="DT18" i="3" s="1"/>
  <c r="DS16" i="3"/>
  <c r="DT16" i="3" s="1"/>
  <c r="DS15" i="3"/>
  <c r="DT15" i="3" s="1"/>
  <c r="DS17" i="3"/>
  <c r="DT17" i="3" s="1"/>
  <c r="DS12" i="3"/>
  <c r="DT12" i="3" s="1"/>
  <c r="DS13" i="3"/>
  <c r="DT13" i="3" s="1"/>
  <c r="DS11" i="3"/>
  <c r="DT11" i="3" s="1"/>
  <c r="DS10" i="3"/>
  <c r="DT10" i="3" s="1"/>
  <c r="DS9" i="3"/>
  <c r="DT9" i="3" s="1"/>
  <c r="DS14" i="3"/>
  <c r="DT14" i="3" s="1"/>
  <c r="DT33" i="3" l="1"/>
  <c r="DU26" i="3" l="1"/>
  <c r="DU32" i="3"/>
  <c r="DU31" i="3"/>
  <c r="DU23" i="3"/>
  <c r="DU11" i="3"/>
  <c r="DU25" i="3"/>
  <c r="DU16" i="3"/>
  <c r="DU30" i="3"/>
  <c r="DU19" i="3"/>
  <c r="DU15" i="3"/>
  <c r="DU22" i="3"/>
  <c r="DU14" i="3"/>
  <c r="DU27" i="3"/>
  <c r="DU29" i="3"/>
  <c r="DU12" i="3"/>
  <c r="DU24" i="3"/>
  <c r="DU18" i="3"/>
  <c r="DU13" i="3"/>
  <c r="DU20" i="3"/>
  <c r="DU28" i="3"/>
  <c r="DU9" i="3"/>
  <c r="DU17" i="3"/>
  <c r="DU10" i="3"/>
  <c r="DU21" i="3"/>
  <c r="DX10" i="3" l="1"/>
  <c r="DX11" i="3"/>
  <c r="DX12" i="3"/>
  <c r="DX17" i="3"/>
  <c r="DU33" i="3"/>
  <c r="DV33" i="3" s="1"/>
  <c r="DX9" i="3"/>
  <c r="DX14" i="3"/>
  <c r="DX13" i="3"/>
  <c r="DX15" i="3"/>
  <c r="DX16" i="3"/>
  <c r="DX18" i="3"/>
  <c r="DX19" i="3"/>
  <c r="DW33" i="3" l="1"/>
  <c r="DY18" i="3" l="1"/>
  <c r="DZ18" i="3" s="1"/>
  <c r="DY16" i="3"/>
  <c r="DZ16" i="3" s="1"/>
  <c r="DY19" i="3"/>
  <c r="DZ19" i="3" s="1"/>
  <c r="DY17" i="3"/>
  <c r="DZ17" i="3" s="1"/>
  <c r="DY14" i="3"/>
  <c r="DZ14" i="3" s="1"/>
  <c r="DY13" i="3"/>
  <c r="DZ13" i="3" s="1"/>
  <c r="DY12" i="3"/>
  <c r="DZ12" i="3" s="1"/>
  <c r="DY11" i="3"/>
  <c r="DZ11" i="3" s="1"/>
  <c r="DY15" i="3"/>
  <c r="DZ15" i="3" s="1"/>
  <c r="DY10" i="3"/>
  <c r="DZ10" i="3" s="1"/>
  <c r="DY9" i="3"/>
  <c r="DZ9" i="3" s="1"/>
  <c r="DZ33" i="3" l="1"/>
  <c r="EA28" i="3" l="1"/>
  <c r="EA21" i="3"/>
  <c r="EA9" i="3"/>
  <c r="EA27" i="3"/>
  <c r="EA25" i="3"/>
  <c r="EA20" i="3"/>
  <c r="EA26" i="3"/>
  <c r="EA13" i="3"/>
  <c r="EA16" i="3"/>
  <c r="EA15" i="3"/>
  <c r="EA10" i="3"/>
  <c r="EA32" i="3"/>
  <c r="EA30" i="3"/>
  <c r="EA29" i="3"/>
  <c r="EA24" i="3"/>
  <c r="EA14" i="3"/>
  <c r="EA18" i="3"/>
  <c r="EA12" i="3"/>
  <c r="EA11" i="3"/>
  <c r="EA22" i="3"/>
  <c r="EA31" i="3"/>
  <c r="EA17" i="3"/>
  <c r="EA19" i="3"/>
  <c r="EA23" i="3"/>
  <c r="ED14" i="3" l="1"/>
  <c r="ED13" i="3"/>
  <c r="ED17" i="3"/>
  <c r="ED11" i="3"/>
  <c r="ED10" i="3"/>
  <c r="EA33" i="3"/>
  <c r="EB33" i="3" s="1"/>
  <c r="ED9" i="3"/>
  <c r="ED19" i="3"/>
  <c r="ED15" i="3"/>
  <c r="ED12" i="3"/>
  <c r="ED18" i="3"/>
  <c r="ED16" i="3"/>
  <c r="EC33" i="3" l="1"/>
  <c r="EE19" i="3" l="1"/>
  <c r="EF19" i="3" s="1"/>
  <c r="EE18" i="3"/>
  <c r="EF18" i="3" s="1"/>
  <c r="EE17" i="3"/>
  <c r="EF17" i="3" s="1"/>
  <c r="EE16" i="3"/>
  <c r="EF16" i="3" s="1"/>
  <c r="EE11" i="3"/>
  <c r="EF11" i="3" s="1"/>
  <c r="EE14" i="3"/>
  <c r="EF14" i="3" s="1"/>
  <c r="EE15" i="3"/>
  <c r="EF15" i="3" s="1"/>
  <c r="EE10" i="3"/>
  <c r="EF10" i="3" s="1"/>
  <c r="EE9" i="3"/>
  <c r="EF9" i="3" s="1"/>
  <c r="EE13" i="3"/>
  <c r="EF13" i="3" s="1"/>
  <c r="EE12" i="3"/>
  <c r="EF12" i="3" s="1"/>
  <c r="EF33" i="3" l="1"/>
  <c r="EG25" i="3" l="1"/>
  <c r="EG22" i="3"/>
  <c r="EG9" i="3"/>
  <c r="EG32" i="3"/>
  <c r="EG15" i="3"/>
  <c r="EG30" i="3"/>
  <c r="EG27" i="3"/>
  <c r="EG29" i="3"/>
  <c r="EG19" i="3"/>
  <c r="EG21" i="3"/>
  <c r="EG12" i="3"/>
  <c r="EG26" i="3"/>
  <c r="EG11" i="3"/>
  <c r="EG16" i="3"/>
  <c r="EG24" i="3"/>
  <c r="EG14" i="3"/>
  <c r="EG13" i="3"/>
  <c r="EG18" i="3"/>
  <c r="EG17" i="3"/>
  <c r="EG20" i="3"/>
  <c r="EG28" i="3"/>
  <c r="EG23" i="3"/>
  <c r="EG31" i="3"/>
  <c r="EG10" i="3"/>
  <c r="EJ14" i="3" l="1"/>
  <c r="EJ10" i="3"/>
  <c r="EJ15" i="3"/>
  <c r="EJ16" i="3"/>
  <c r="EJ17" i="3"/>
  <c r="EJ12" i="3"/>
  <c r="EG33" i="3"/>
  <c r="EH33" i="3" s="1"/>
  <c r="EJ9" i="3"/>
  <c r="EJ11" i="3"/>
  <c r="EJ18" i="3"/>
  <c r="EJ13" i="3"/>
  <c r="EJ19" i="3"/>
  <c r="EI33" i="3" l="1"/>
  <c r="EK19" i="3" l="1"/>
  <c r="EL19" i="3" s="1"/>
  <c r="EK16" i="3"/>
  <c r="EL16" i="3" s="1"/>
  <c r="EK18" i="3"/>
  <c r="EL18" i="3" s="1"/>
  <c r="EK15" i="3"/>
  <c r="EL15" i="3" s="1"/>
  <c r="EK14" i="3"/>
  <c r="EL14" i="3" s="1"/>
  <c r="EK13" i="3"/>
  <c r="EL13" i="3" s="1"/>
  <c r="EK12" i="3"/>
  <c r="EL12" i="3" s="1"/>
  <c r="EK11" i="3"/>
  <c r="EL11" i="3" s="1"/>
  <c r="EK17" i="3"/>
  <c r="EL17" i="3" s="1"/>
  <c r="EK10" i="3"/>
  <c r="EL10" i="3" s="1"/>
  <c r="EK9" i="3"/>
  <c r="EL9" i="3" s="1"/>
  <c r="EL33" i="3" l="1"/>
  <c r="EM30" i="3" l="1"/>
  <c r="EM17" i="3"/>
  <c r="EM31" i="3"/>
  <c r="EM32" i="3"/>
  <c r="EM22" i="3"/>
  <c r="EM21" i="3"/>
  <c r="EM24" i="3"/>
  <c r="EM14" i="3"/>
  <c r="EM26" i="3"/>
  <c r="EM27" i="3"/>
  <c r="EM28" i="3"/>
  <c r="EM12" i="3"/>
  <c r="EM19" i="3"/>
  <c r="EM18" i="3"/>
  <c r="EM23" i="3"/>
  <c r="EM29" i="3"/>
  <c r="EM13" i="3"/>
  <c r="EM16" i="3"/>
  <c r="EM20" i="3"/>
  <c r="EM11" i="3"/>
  <c r="EM10" i="3"/>
  <c r="EM9" i="3"/>
  <c r="EM15" i="3"/>
  <c r="EM25" i="3"/>
  <c r="EP14" i="3" l="1"/>
  <c r="EM33" i="3"/>
  <c r="EN33" i="3" s="1"/>
  <c r="EP9" i="3"/>
  <c r="EP18" i="3"/>
  <c r="EP11" i="3"/>
  <c r="EP15" i="3"/>
  <c r="EP10" i="3"/>
  <c r="EP19" i="3"/>
  <c r="EP12" i="3"/>
  <c r="EP16" i="3"/>
  <c r="EP17" i="3"/>
  <c r="EP13" i="3"/>
  <c r="EO33" i="3" l="1"/>
  <c r="EQ19" i="3" l="1"/>
  <c r="ER19" i="3" s="1"/>
  <c r="EQ18" i="3"/>
  <c r="ER18" i="3" s="1"/>
  <c r="EQ17" i="3"/>
  <c r="ER17" i="3" s="1"/>
  <c r="EQ15" i="3"/>
  <c r="ER15" i="3" s="1"/>
  <c r="EQ13" i="3"/>
  <c r="ER13" i="3" s="1"/>
  <c r="EQ10" i="3"/>
  <c r="ER10" i="3" s="1"/>
  <c r="EQ9" i="3"/>
  <c r="ER9" i="3" s="1"/>
  <c r="EQ11" i="3"/>
  <c r="ER11" i="3" s="1"/>
  <c r="EQ12" i="3"/>
  <c r="ER12" i="3" s="1"/>
  <c r="EQ16" i="3"/>
  <c r="ER16" i="3" s="1"/>
  <c r="EQ14" i="3"/>
  <c r="ER14" i="3" s="1"/>
  <c r="ER33" i="3" l="1"/>
  <c r="ES32" i="3"/>
  <c r="ES24" i="3"/>
  <c r="ES17" i="3"/>
  <c r="ES9" i="3"/>
  <c r="ES16" i="3"/>
  <c r="ES30" i="3"/>
  <c r="ES14" i="3"/>
  <c r="ES21" i="3"/>
  <c r="ES20" i="3"/>
  <c r="ES27" i="3"/>
  <c r="ES19" i="3"/>
  <c r="ES18" i="3"/>
  <c r="ES31" i="3"/>
  <c r="ES23" i="3"/>
  <c r="ES29" i="3"/>
  <c r="ES13" i="3"/>
  <c r="ES12" i="3"/>
  <c r="ES25" i="3"/>
  <c r="ES22" i="3"/>
  <c r="ES28" i="3"/>
  <c r="ES11" i="3"/>
  <c r="ES15" i="3"/>
  <c r="ES10" i="3"/>
  <c r="ES26" i="3"/>
  <c r="EV14" i="3" l="1"/>
  <c r="EV10" i="3"/>
  <c r="EV11" i="3"/>
  <c r="EV16" i="3"/>
  <c r="EV15" i="3"/>
  <c r="EV18" i="3"/>
  <c r="ES33" i="3"/>
  <c r="ET33" i="3" s="1"/>
  <c r="EV9" i="3"/>
  <c r="EV19" i="3"/>
  <c r="EV17" i="3"/>
  <c r="EV13" i="3"/>
  <c r="EV12" i="3"/>
  <c r="EU33" i="3" l="1"/>
  <c r="EW17" i="3" l="1"/>
  <c r="EX17" i="3" s="1"/>
  <c r="EW16" i="3"/>
  <c r="EX16" i="3" s="1"/>
  <c r="EW19" i="3"/>
  <c r="EX19" i="3" s="1"/>
  <c r="EW18" i="3"/>
  <c r="EX18" i="3" s="1"/>
  <c r="EW14" i="3"/>
  <c r="EX14" i="3" s="1"/>
  <c r="EW13" i="3"/>
  <c r="EX13" i="3" s="1"/>
  <c r="EW12" i="3"/>
  <c r="EX12" i="3" s="1"/>
  <c r="EW11" i="3"/>
  <c r="EX11" i="3" s="1"/>
  <c r="EW15" i="3"/>
  <c r="EX15" i="3" s="1"/>
  <c r="EW10" i="3"/>
  <c r="EX10" i="3" s="1"/>
  <c r="EW9" i="3"/>
  <c r="EX9" i="3" s="1"/>
  <c r="EX33" i="3" l="1"/>
  <c r="EY19" i="3" l="1"/>
  <c r="EY29" i="3"/>
  <c r="EY9" i="3"/>
  <c r="EY25" i="3"/>
  <c r="EY27" i="3"/>
  <c r="EY23" i="3"/>
  <c r="EY26" i="3"/>
  <c r="EY14" i="3"/>
  <c r="EY21" i="3"/>
  <c r="EY20" i="3"/>
  <c r="EY15" i="3"/>
  <c r="EY24" i="3"/>
  <c r="EY32" i="3"/>
  <c r="EY18" i="3"/>
  <c r="EY31" i="3"/>
  <c r="EY17" i="3"/>
  <c r="EY28" i="3"/>
  <c r="EY13" i="3"/>
  <c r="EY12" i="3"/>
  <c r="EY30" i="3"/>
  <c r="EY22" i="3"/>
  <c r="EY16" i="3"/>
  <c r="EY11" i="3"/>
  <c r="EY10" i="3"/>
  <c r="FB17" i="3" l="1"/>
  <c r="FB14" i="3"/>
  <c r="FB11" i="3"/>
  <c r="FB18" i="3"/>
  <c r="FB12" i="3"/>
  <c r="FB15" i="3"/>
  <c r="EY33" i="3"/>
  <c r="EZ33" i="3" s="1"/>
  <c r="FB9" i="3"/>
  <c r="FA33" i="3" s="1"/>
  <c r="FB10" i="3"/>
  <c r="FB16" i="3"/>
  <c r="FB13" i="3"/>
  <c r="FB19" i="3"/>
  <c r="FC18" i="3" l="1"/>
  <c r="FD18" i="3" s="1"/>
  <c r="FC17" i="3"/>
  <c r="FD17" i="3" s="1"/>
  <c r="FC19" i="3"/>
  <c r="FD19" i="3" s="1"/>
  <c r="FC15" i="3"/>
  <c r="FD15" i="3" s="1"/>
  <c r="FC16" i="3"/>
  <c r="FD16" i="3" s="1"/>
  <c r="FC12" i="3"/>
  <c r="FD12" i="3" s="1"/>
  <c r="FC14" i="3"/>
  <c r="FD14" i="3" s="1"/>
  <c r="FC11" i="3"/>
  <c r="FD11" i="3" s="1"/>
  <c r="FC10" i="3"/>
  <c r="FD10" i="3" s="1"/>
  <c r="FC9" i="3"/>
  <c r="FD9" i="3" s="1"/>
  <c r="FC13" i="3"/>
  <c r="FD13" i="3" s="1"/>
  <c r="FD33" i="3" l="1"/>
  <c r="FE27" i="3" l="1"/>
  <c r="FE21" i="3"/>
  <c r="FE9" i="3"/>
  <c r="FE24" i="3"/>
  <c r="FE22" i="3"/>
  <c r="FE15" i="3"/>
  <c r="FE32" i="3"/>
  <c r="FE26" i="3"/>
  <c r="FE16" i="3"/>
  <c r="FE28" i="3"/>
  <c r="FE23" i="3"/>
  <c r="FE12" i="3"/>
  <c r="FE14" i="3"/>
  <c r="FE19" i="3"/>
  <c r="FE18" i="3"/>
  <c r="FE10" i="3"/>
  <c r="FE30" i="3"/>
  <c r="FE31" i="3"/>
  <c r="FE13" i="3"/>
  <c r="FE25" i="3"/>
  <c r="FE29" i="3"/>
  <c r="FE11" i="3"/>
  <c r="FE20" i="3"/>
  <c r="FE17" i="3"/>
  <c r="FH17" i="3" l="1"/>
  <c r="FH11" i="3"/>
  <c r="FH15" i="3"/>
  <c r="FH10" i="3"/>
  <c r="FH14" i="3"/>
  <c r="FH18" i="3"/>
  <c r="FH12" i="3"/>
  <c r="FH13" i="3"/>
  <c r="FE33" i="3"/>
  <c r="FF33" i="3" s="1"/>
  <c r="FH9" i="3"/>
  <c r="FH19" i="3"/>
  <c r="FH16" i="3"/>
  <c r="FG33" i="3" l="1"/>
  <c r="FI19" i="3" s="1"/>
  <c r="FJ19" i="3" s="1"/>
  <c r="FI11" i="3" l="1"/>
  <c r="FJ11" i="3" s="1"/>
  <c r="FI13" i="3"/>
  <c r="FJ13" i="3" s="1"/>
  <c r="FI10" i="3"/>
  <c r="FJ10" i="3" s="1"/>
  <c r="FI12" i="3"/>
  <c r="FJ12" i="3" s="1"/>
  <c r="FI14" i="3"/>
  <c r="FJ14" i="3" s="1"/>
  <c r="FI16" i="3"/>
  <c r="FJ16" i="3" s="1"/>
  <c r="FI9" i="3"/>
  <c r="FJ9" i="3" s="1"/>
  <c r="FI17" i="3"/>
  <c r="FJ17" i="3" s="1"/>
  <c r="FI18" i="3"/>
  <c r="FJ18" i="3" s="1"/>
  <c r="FI15" i="3"/>
  <c r="FJ15" i="3" s="1"/>
  <c r="FJ33" i="3" l="1"/>
  <c r="FK32" i="3"/>
  <c r="FK26" i="3"/>
  <c r="FK19" i="3"/>
  <c r="FK21" i="3"/>
  <c r="FK16" i="3"/>
  <c r="FK11" i="3"/>
  <c r="FK10" i="3"/>
  <c r="FK29" i="3"/>
  <c r="FK31" i="3"/>
  <c r="FK27" i="3"/>
  <c r="FK25" i="3"/>
  <c r="FK28" i="3"/>
  <c r="FK14" i="3"/>
  <c r="FK23" i="3"/>
  <c r="FK30" i="3"/>
  <c r="FK20" i="3"/>
  <c r="FK13" i="3"/>
  <c r="FK22" i="3"/>
  <c r="FK17" i="3"/>
  <c r="FK12" i="3"/>
  <c r="FK24" i="3"/>
  <c r="FK18" i="3"/>
  <c r="FK15" i="3"/>
  <c r="FK9" i="3"/>
  <c r="FN10" i="3" l="1"/>
  <c r="FK33" i="3"/>
  <c r="FL33" i="3" s="1"/>
  <c r="FN9" i="3"/>
  <c r="FN11" i="3"/>
  <c r="FN14" i="3"/>
  <c r="FN16" i="3"/>
  <c r="FN17" i="3"/>
  <c r="FN19" i="3"/>
  <c r="FN18" i="3"/>
  <c r="FN12" i="3"/>
  <c r="FN15" i="3"/>
  <c r="FN13" i="3"/>
  <c r="FM33" i="3" l="1"/>
  <c r="FO18" i="3" l="1"/>
  <c r="FP18" i="3" s="1"/>
  <c r="FO17" i="3"/>
  <c r="FP17" i="3" s="1"/>
  <c r="FO19" i="3"/>
  <c r="FP19" i="3" s="1"/>
  <c r="FO16" i="3"/>
  <c r="FP16" i="3" s="1"/>
  <c r="FO15" i="3"/>
  <c r="FP15" i="3" s="1"/>
  <c r="FO11" i="3"/>
  <c r="FP11" i="3" s="1"/>
  <c r="FO13" i="3"/>
  <c r="FP13" i="3" s="1"/>
  <c r="FO10" i="3"/>
  <c r="FP10" i="3" s="1"/>
  <c r="FO9" i="3"/>
  <c r="FP9" i="3" s="1"/>
  <c r="FO12" i="3"/>
  <c r="FP12" i="3" s="1"/>
  <c r="FO14" i="3"/>
  <c r="FP14" i="3" s="1"/>
  <c r="FP33" i="3" l="1"/>
  <c r="FQ26" i="3" l="1"/>
  <c r="FQ16" i="3"/>
  <c r="FQ9" i="3"/>
  <c r="FQ15" i="3"/>
  <c r="FQ25" i="3"/>
  <c r="FQ14" i="3"/>
  <c r="FQ27" i="3"/>
  <c r="FQ18" i="3"/>
  <c r="FQ19" i="3"/>
  <c r="FQ12" i="3"/>
  <c r="FQ11" i="3"/>
  <c r="FQ24" i="3"/>
  <c r="FQ23" i="3"/>
  <c r="FQ30" i="3"/>
  <c r="FQ31" i="3"/>
  <c r="FQ22" i="3"/>
  <c r="FQ13" i="3"/>
  <c r="FQ17" i="3"/>
  <c r="FQ29" i="3"/>
  <c r="FQ21" i="3"/>
  <c r="FQ20" i="3"/>
  <c r="FQ10" i="3"/>
  <c r="FQ28" i="3"/>
  <c r="FQ32" i="3"/>
  <c r="FT18" i="3" l="1"/>
  <c r="FT14" i="3"/>
  <c r="FT15" i="3"/>
  <c r="FT11" i="3"/>
  <c r="FQ33" i="3"/>
  <c r="FR33" i="3" s="1"/>
  <c r="FT9" i="3"/>
  <c r="FT10" i="3"/>
  <c r="FT17" i="3"/>
  <c r="FT12" i="3"/>
  <c r="FT16" i="3"/>
  <c r="FT13" i="3"/>
  <c r="FT19" i="3"/>
  <c r="FS33" i="3" l="1"/>
  <c r="FU19" i="3" l="1"/>
  <c r="FV19" i="3" s="1"/>
  <c r="FU16" i="3"/>
  <c r="FV16" i="3" s="1"/>
  <c r="FU17" i="3"/>
  <c r="FV17" i="3" s="1"/>
  <c r="FU18" i="3"/>
  <c r="FV18" i="3" s="1"/>
  <c r="FU15" i="3"/>
  <c r="FV15" i="3" s="1"/>
  <c r="FU14" i="3"/>
  <c r="FV14" i="3" s="1"/>
  <c r="FU13" i="3"/>
  <c r="FV13" i="3" s="1"/>
  <c r="FU12" i="3"/>
  <c r="FV12" i="3" s="1"/>
  <c r="FU11" i="3"/>
  <c r="FV11" i="3" s="1"/>
  <c r="FU10" i="3"/>
  <c r="FV10" i="3" s="1"/>
  <c r="FU9" i="3"/>
  <c r="FV9" i="3" s="1"/>
  <c r="FV33" i="3" l="1"/>
  <c r="FW28" i="3" l="1"/>
  <c r="FW19" i="3"/>
  <c r="FW9" i="3"/>
  <c r="FW27" i="3"/>
  <c r="FW21" i="3"/>
  <c r="FW14" i="3"/>
  <c r="FW13" i="3"/>
  <c r="FW12" i="3"/>
  <c r="FW31" i="3"/>
  <c r="FW23" i="3"/>
  <c r="FW32" i="3"/>
  <c r="FW30" i="3"/>
  <c r="FW20" i="3"/>
  <c r="FW24" i="3"/>
  <c r="FW16" i="3"/>
  <c r="FW15" i="3"/>
  <c r="FW29" i="3"/>
  <c r="FW25" i="3"/>
  <c r="FW17" i="3"/>
  <c r="FW22" i="3"/>
  <c r="FW26" i="3"/>
  <c r="FW18" i="3"/>
  <c r="FW11" i="3"/>
  <c r="FW10" i="3"/>
  <c r="FZ15" i="3" l="1"/>
  <c r="FZ12" i="3"/>
  <c r="FZ10" i="3"/>
  <c r="FZ11" i="3"/>
  <c r="FZ16" i="3"/>
  <c r="FZ13" i="3"/>
  <c r="FZ14" i="3"/>
  <c r="FZ18" i="3"/>
  <c r="FZ17" i="3"/>
  <c r="FW33" i="3"/>
  <c r="FX33" i="3" s="1"/>
  <c r="FZ9" i="3"/>
  <c r="FY33" i="3" s="1"/>
  <c r="FZ19" i="3"/>
  <c r="GA18" i="3" l="1"/>
  <c r="GB18" i="3" s="1"/>
  <c r="GA17" i="3"/>
  <c r="GB17" i="3" s="1"/>
  <c r="GA19" i="3"/>
  <c r="GB19" i="3" s="1"/>
  <c r="GA16" i="3"/>
  <c r="GB16" i="3" s="1"/>
  <c r="GA15" i="3"/>
  <c r="GB15" i="3" s="1"/>
  <c r="GA14" i="3"/>
  <c r="GB14" i="3" s="1"/>
  <c r="GA12" i="3"/>
  <c r="GB12" i="3" s="1"/>
  <c r="GA11" i="3"/>
  <c r="GB11" i="3" s="1"/>
  <c r="GA10" i="3"/>
  <c r="GB10" i="3" s="1"/>
  <c r="GA9" i="3"/>
  <c r="GB9" i="3" s="1"/>
  <c r="GA13" i="3"/>
  <c r="GB13" i="3" s="1"/>
  <c r="GB33" i="3" l="1"/>
  <c r="GC31" i="3" l="1"/>
  <c r="GC22" i="3"/>
  <c r="GC15" i="3"/>
  <c r="GC19" i="3"/>
  <c r="GC28" i="3"/>
  <c r="GC9" i="3"/>
  <c r="GC29" i="3"/>
  <c r="GC32" i="3"/>
  <c r="GC23" i="3"/>
  <c r="GC10" i="3"/>
  <c r="GC26" i="3"/>
  <c r="GC11" i="3"/>
  <c r="GC21" i="3"/>
  <c r="GC13" i="3"/>
  <c r="GC25" i="3"/>
  <c r="GC20" i="3"/>
  <c r="GC14" i="3"/>
  <c r="GC17" i="3"/>
  <c r="GC24" i="3"/>
  <c r="GC30" i="3"/>
  <c r="GC16" i="3"/>
  <c r="GC27" i="3"/>
  <c r="GC18" i="3"/>
  <c r="GC12" i="3"/>
  <c r="GF12" i="3" l="1"/>
  <c r="GC33" i="3"/>
  <c r="GD33" i="3" s="1"/>
  <c r="GF9" i="3"/>
  <c r="GF16" i="3"/>
  <c r="GF11" i="3"/>
  <c r="GF19" i="3"/>
  <c r="GF18" i="3"/>
  <c r="GF13" i="3"/>
  <c r="GF15" i="3"/>
  <c r="GF17" i="3"/>
  <c r="GF10" i="3"/>
  <c r="GF14" i="3"/>
  <c r="GE33" i="3" l="1"/>
  <c r="GG19" i="3" l="1"/>
  <c r="GH19" i="3" s="1"/>
  <c r="GG18" i="3"/>
  <c r="GH18" i="3" s="1"/>
  <c r="GG16" i="3"/>
  <c r="GH16" i="3" s="1"/>
  <c r="GG14" i="3"/>
  <c r="GH14" i="3" s="1"/>
  <c r="GG13" i="3"/>
  <c r="GH13" i="3" s="1"/>
  <c r="GG12" i="3"/>
  <c r="GH12" i="3" s="1"/>
  <c r="GG11" i="3"/>
  <c r="GH11" i="3" s="1"/>
  <c r="GG15" i="3"/>
  <c r="GH15" i="3" s="1"/>
  <c r="GG17" i="3"/>
  <c r="GH17" i="3" s="1"/>
  <c r="GG10" i="3"/>
  <c r="GH10" i="3" s="1"/>
  <c r="GG9" i="3"/>
  <c r="GH9" i="3" s="1"/>
  <c r="GH33" i="3" l="1"/>
  <c r="GI32" i="3" l="1"/>
  <c r="GJ32" i="3" s="1"/>
  <c r="GK32" i="3" s="1"/>
  <c r="GI30" i="3"/>
  <c r="GJ30" i="3" s="1"/>
  <c r="GK30" i="3" s="1"/>
  <c r="GI31" i="3"/>
  <c r="GJ31" i="3" s="1"/>
  <c r="GK31" i="3" s="1"/>
  <c r="GI23" i="3"/>
  <c r="GJ23" i="3" s="1"/>
  <c r="GK23" i="3" s="1"/>
  <c r="GI26" i="3"/>
  <c r="GJ26" i="3" s="1"/>
  <c r="GK26" i="3" s="1"/>
  <c r="GI13" i="3"/>
  <c r="GJ13" i="3" s="1"/>
  <c r="GK13" i="3" s="1"/>
  <c r="GL13" i="3" s="1"/>
  <c r="GI12" i="3"/>
  <c r="GJ12" i="3" s="1"/>
  <c r="GK12" i="3" s="1"/>
  <c r="GL12" i="3" s="1"/>
  <c r="GI11" i="3"/>
  <c r="GJ11" i="3" s="1"/>
  <c r="GK11" i="3" s="1"/>
  <c r="GL11" i="3" s="1"/>
  <c r="GI25" i="3"/>
  <c r="GJ25" i="3" s="1"/>
  <c r="GK25" i="3" s="1"/>
  <c r="GI9" i="3"/>
  <c r="GI29" i="3"/>
  <c r="GJ29" i="3" s="1"/>
  <c r="GK29" i="3" s="1"/>
  <c r="GI24" i="3"/>
  <c r="GJ24" i="3" s="1"/>
  <c r="GK24" i="3" s="1"/>
  <c r="GI17" i="3"/>
  <c r="GJ17" i="3" s="1"/>
  <c r="GK17" i="3" s="1"/>
  <c r="GL17" i="3" s="1"/>
  <c r="GI27" i="3"/>
  <c r="GJ27" i="3" s="1"/>
  <c r="GK27" i="3" s="1"/>
  <c r="GI22" i="3"/>
  <c r="GJ22" i="3" s="1"/>
  <c r="GK22" i="3" s="1"/>
  <c r="GI19" i="3"/>
  <c r="GJ19" i="3" s="1"/>
  <c r="GK19" i="3" s="1"/>
  <c r="GL19" i="3" s="1"/>
  <c r="GI16" i="3"/>
  <c r="GJ16" i="3" s="1"/>
  <c r="GK16" i="3" s="1"/>
  <c r="GL16" i="3" s="1"/>
  <c r="GI15" i="3"/>
  <c r="GJ15" i="3" s="1"/>
  <c r="GK15" i="3" s="1"/>
  <c r="GL15" i="3" s="1"/>
  <c r="GI21" i="3"/>
  <c r="GJ21" i="3" s="1"/>
  <c r="GK21" i="3" s="1"/>
  <c r="GI28" i="3"/>
  <c r="GJ28" i="3" s="1"/>
  <c r="GK28" i="3" s="1"/>
  <c r="GI20" i="3"/>
  <c r="GJ20" i="3" s="1"/>
  <c r="GK20" i="3" s="1"/>
  <c r="GI18" i="3"/>
  <c r="GJ18" i="3" s="1"/>
  <c r="GK18" i="3" s="1"/>
  <c r="GL18" i="3" s="1"/>
  <c r="GI14" i="3"/>
  <c r="GJ14" i="3" s="1"/>
  <c r="GK14" i="3" s="1"/>
  <c r="GL14" i="3" s="1"/>
  <c r="GI10" i="3"/>
  <c r="GJ10" i="3" s="1"/>
  <c r="GK10" i="3" s="1"/>
  <c r="GL10" i="3" s="1"/>
  <c r="GI33" i="3" l="1"/>
  <c r="GJ9" i="3"/>
  <c r="GJ33" i="3" l="1"/>
  <c r="GK33" i="3" s="1"/>
  <c r="GK9" i="3"/>
  <c r="GL9" i="3" s="1"/>
</calcChain>
</file>

<file path=xl/sharedStrings.xml><?xml version="1.0" encoding="utf-8"?>
<sst xmlns="http://schemas.openxmlformats.org/spreadsheetml/2006/main" count="2308" uniqueCount="203">
  <si>
    <t>Исходные данные, используемые в расчете размера дотации бюджетам поселений на выравнивание бюджетной обеспеченности</t>
  </si>
  <si>
    <t>№ п/п</t>
  </si>
  <si>
    <t>Поселение</t>
  </si>
  <si>
    <t>Исходные данные</t>
  </si>
  <si>
    <t xml:space="preserve">Численность постоянного  населения </t>
  </si>
  <si>
    <t>Налоговый потенциал поселений на планируемый год</t>
  </si>
  <si>
    <r>
      <rPr>
        <sz val="12"/>
        <rFont val="Times New Roman"/>
        <family val="1"/>
        <charset val="204"/>
      </rPr>
      <t xml:space="preserve">Показатели, используемые для расчета поправочного коэффициента расходных потребностей 
</t>
    </r>
    <r>
      <rPr>
        <b/>
        <i/>
        <sz val="12"/>
        <rFont val="Times New Roman"/>
        <family val="1"/>
        <charset val="204"/>
      </rPr>
      <t>(определяемые методикой планирования бюджетных ассигнований муниципального района)</t>
    </r>
  </si>
  <si>
    <t>на 01.01.2023г.</t>
  </si>
  <si>
    <t>2024 год</t>
  </si>
  <si>
    <t>Нi</t>
  </si>
  <si>
    <t>НПi</t>
  </si>
  <si>
    <t>Р1                                      Количество населенных пунктов в поселении                                  на 01.01.2023г.</t>
  </si>
  <si>
    <t>Р2                                   Площадь территории поселения                                     на 01.01.2022г.</t>
  </si>
  <si>
    <t>наименование</t>
  </si>
  <si>
    <t>человек</t>
  </si>
  <si>
    <t>рублей</t>
  </si>
  <si>
    <t>единиц</t>
  </si>
  <si>
    <t>кв. километров</t>
  </si>
  <si>
    <t>Антоновское сельское поселение</t>
  </si>
  <si>
    <t>Глухониколаевское сельское поселение</t>
  </si>
  <si>
    <t>Нижнеомское сельское поселение</t>
  </si>
  <si>
    <t>Новотроицкое сельское поселение</t>
  </si>
  <si>
    <t>Паутовское сельское поселение</t>
  </si>
  <si>
    <t>Ситниковское сельское поселение</t>
  </si>
  <si>
    <t>Смирновское сельское поселение</t>
  </si>
  <si>
    <t>Соловецкое сельское поселение</t>
  </si>
  <si>
    <t>Старомалиновское сельское поселение</t>
  </si>
  <si>
    <t>Хомутинское сельское поселение</t>
  </si>
  <si>
    <t>Хортицкое сельское поселение</t>
  </si>
  <si>
    <t>Итого</t>
  </si>
  <si>
    <t>Расчет поправочного коэффициента расходных потребностей</t>
  </si>
  <si>
    <t>Наименование поселения</t>
  </si>
  <si>
    <t>Коэффициент количества населенных пунктов в поселении                     К1i</t>
  </si>
  <si>
    <t>Коэффициент                площади территории поселения     К2i</t>
  </si>
  <si>
    <t>Коэффициент дифференциации поселений по численности постоянного населения                                                        К3i</t>
  </si>
  <si>
    <t>указать наименование коэффициента удорожания</t>
  </si>
  <si>
    <t>Поправочный коэффициент расходных потребностей             Кi                                         Кi = ((К1i+ К2 i)/2)* К3 i</t>
  </si>
  <si>
    <t>К1i  = 1+(Р1 i /Р1 max)</t>
  </si>
  <si>
    <t>К2i  = 1+(Р2 i /Р2 max)</t>
  </si>
  <si>
    <t>написать формулу расчета</t>
  </si>
  <si>
    <t xml:space="preserve">Примечание: 
1. В графах, начиная с графы 3, в ячейках должны быть указаны формулы расчета полученного значения коэффициентов, на основании значений показателей, указанных на листе "Исходные данные" в соответствии с методикой планирования бюджетных ассигнований муниципального района.
Занесение значения показателя "ручным способом"  - не допускается.
2. В графе "Поправочный коэффициент" значение должно быть расчетное (с указанием формулы расчета, установленной методикой планирования бюджетных ассигнований муниципального района)
</t>
  </si>
  <si>
    <t>Расчет размера дотации бюджетам поселений, входящих в состав Нижнеомского муниципального района Омской области, на выравнивание бюджетной обеспеченности на 2024 год</t>
  </si>
  <si>
    <t>Объем дотации, планируемый к распределению поселениям</t>
  </si>
  <si>
    <t>в том числе</t>
  </si>
  <si>
    <t>Показатели</t>
  </si>
  <si>
    <r>
      <rPr>
        <b/>
        <sz val="12"/>
        <rFont val="Times New Roman"/>
        <family val="1"/>
        <charset val="204"/>
      </rPr>
      <t xml:space="preserve">Уровень расчетной бюджетной обеспеченности </t>
    </r>
    <r>
      <rPr>
        <b/>
        <u/>
        <sz val="12"/>
        <rFont val="Times New Roman"/>
        <family val="1"/>
        <charset val="204"/>
      </rPr>
      <t xml:space="preserve">ДО </t>
    </r>
    <r>
      <rPr>
        <b/>
        <sz val="12"/>
        <rFont val="Times New Roman"/>
        <family val="1"/>
        <charset val="204"/>
      </rPr>
      <t>выравнивания</t>
    </r>
  </si>
  <si>
    <t>I этап</t>
  </si>
  <si>
    <t xml:space="preserve">II этап </t>
  </si>
  <si>
    <t>Объем дотаций, распределенный 
на 2 этапе</t>
  </si>
  <si>
    <t>Объем дотаций, распределенный на 1 и 2 этапах</t>
  </si>
  <si>
    <r>
      <rPr>
        <b/>
        <sz val="12"/>
        <rFont val="Times New Roman"/>
        <family val="1"/>
        <charset val="204"/>
      </rPr>
      <t xml:space="preserve">Уровень расчетной бюджетной обеспеченности поселения </t>
    </r>
    <r>
      <rPr>
        <b/>
        <u/>
        <sz val="12"/>
        <rFont val="Times New Roman"/>
        <family val="1"/>
        <charset val="204"/>
      </rPr>
      <t xml:space="preserve">ПОСЛЕ </t>
    </r>
    <r>
      <rPr>
        <b/>
        <sz val="12"/>
        <rFont val="Times New Roman"/>
        <family val="1"/>
        <charset val="204"/>
      </rPr>
      <t>выравнивания</t>
    </r>
  </si>
  <si>
    <t>Объем дотаций, распределенный на 1 и 2 этапах    (с учетом округлений)</t>
  </si>
  <si>
    <t>на первом этапе</t>
  </si>
  <si>
    <t>на втором этапе</t>
  </si>
  <si>
    <t>Численность постоянного населения на начало текущего года</t>
  </si>
  <si>
    <t>Налоговый потенциал поселений на планируемый год до выравнивания</t>
  </si>
  <si>
    <t>Поправочный коэффициент расходных потребностей</t>
  </si>
  <si>
    <t>Принимаемые к расчету средние налоговые доходы бюджетов поселений в расчете на одного жителя</t>
  </si>
  <si>
    <t>по 1 критерию</t>
  </si>
  <si>
    <t>по 2 критерию</t>
  </si>
  <si>
    <t>по 3 критерию</t>
  </si>
  <si>
    <t>по 4 критерию</t>
  </si>
  <si>
    <t>по 5 критерию</t>
  </si>
  <si>
    <t>по 6 критерию</t>
  </si>
  <si>
    <t>по 7 критерию</t>
  </si>
  <si>
    <t>по 8 критерию</t>
  </si>
  <si>
    <t>по 9 критерию</t>
  </si>
  <si>
    <t>по 10 критерию</t>
  </si>
  <si>
    <t>по 11 критерию</t>
  </si>
  <si>
    <t>по 12 критерию</t>
  </si>
  <si>
    <t>по 13 критерию</t>
  </si>
  <si>
    <t>по 14 критерию</t>
  </si>
  <si>
    <t>по 15 критерию</t>
  </si>
  <si>
    <t>по 16 критерию</t>
  </si>
  <si>
    <t>по 17 критерию</t>
  </si>
  <si>
    <t>по 18 критерию</t>
  </si>
  <si>
    <t>по 19 критерию</t>
  </si>
  <si>
    <t>по 20 критерию</t>
  </si>
  <si>
    <t>по 21 критерию</t>
  </si>
  <si>
    <t>по 22 критерию</t>
  </si>
  <si>
    <t>по 23 критерию</t>
  </si>
  <si>
    <t>по 24 критерию</t>
  </si>
  <si>
    <t>по 25 критерию</t>
  </si>
  <si>
    <t>по 26 критерию</t>
  </si>
  <si>
    <t>по 27 критерию</t>
  </si>
  <si>
    <t>по 28 критерию</t>
  </si>
  <si>
    <t>по 29 критерию</t>
  </si>
  <si>
    <t>по 30 критерию</t>
  </si>
  <si>
    <t>Выравнивание исходя из необходимости достижения критерия выравнивания расчетной бюджетной обеспеченности поселений</t>
  </si>
  <si>
    <t>Уровень расчетной бюджетной обеспеченности</t>
  </si>
  <si>
    <t>Установленный 1 критерий выравнивания расчетной бюджетной обеспеченности поселений</t>
  </si>
  <si>
    <t>Уровень сокращения отставания расчетной бюджетной обеспеченности поселения от уровня, установленного в качестве критерия выравнивания расчетной бюджетной обеспеченности поселений</t>
  </si>
  <si>
    <t>Объем средств, недостающих для достижения поселением уровня, установленного в качестве критерия выравнивания расчетной бюджетной обеспеченности поселений</t>
  </si>
  <si>
    <t>Распределено по 1 критерию</t>
  </si>
  <si>
    <t>Объем дотаций, распределяемый по 2 критерию</t>
  </si>
  <si>
    <t>Установленный 2 критерий выравнивания расчетной бюджетной обеспеченности поселений</t>
  </si>
  <si>
    <t>Распределено по 2 критерию</t>
  </si>
  <si>
    <t>Объем дотаций, распределяемый по 3 критерию</t>
  </si>
  <si>
    <t>Установленный 3 критерий выравнивания расчетной бюджетной обеспеченности поселений</t>
  </si>
  <si>
    <t>Распределено по 3 критерию</t>
  </si>
  <si>
    <t>Объем дотаций, распределяемый по 4 критерию</t>
  </si>
  <si>
    <t>Установленный 4 критерий выравнивания расчетной бюджетной обеспеченности поселений</t>
  </si>
  <si>
    <t>Распределено по 4 критерию</t>
  </si>
  <si>
    <t>Объем дотаций, распределяемый по 5 критерию</t>
  </si>
  <si>
    <t>Установленный 5 критерий выравнивания расчетной бюджетной обеспеченности поселений</t>
  </si>
  <si>
    <t>Распределено по 5 критерию</t>
  </si>
  <si>
    <t>Объем дотаций, распределяемый по 6 критерию</t>
  </si>
  <si>
    <t>Установленный 6 критерий выравнивания расчетной бюджетной обеспеченности поселений</t>
  </si>
  <si>
    <t>Распределено по 6 критерию</t>
  </si>
  <si>
    <t>Объем дотаций, распределяемый по 7 критерию</t>
  </si>
  <si>
    <t>Установленный 7 критерий выравнивания расчетной бюджетной обеспеченности поселений</t>
  </si>
  <si>
    <t>Распределено по 7 критерию</t>
  </si>
  <si>
    <t>Объем дотаций, распределяемый по 8 критерию</t>
  </si>
  <si>
    <t>Установленный 8 критерий выравнивания расчетной бюджетной обеспеченности поселений</t>
  </si>
  <si>
    <t>Распределено по 8 критерию</t>
  </si>
  <si>
    <t>Объем дотаций, распределяемый по 9 критерию</t>
  </si>
  <si>
    <t>Установленный 9 критерий выравнивания расчетной бюджетной обеспеченности поселений</t>
  </si>
  <si>
    <t>Распределено по 9 критерию</t>
  </si>
  <si>
    <t>Объем дотаций, распределяемый по 10 критерию</t>
  </si>
  <si>
    <t>Установленный 10 критерий выравнивания расчетной бюджетной обеспеченности поселений</t>
  </si>
  <si>
    <t>Распределено по 10 критерию</t>
  </si>
  <si>
    <t>Объем дотаций, распределяемый по 11 критерию</t>
  </si>
  <si>
    <t>Установленный 11 критерий выравнивания расчетной бюджетной обеспеченности поселений</t>
  </si>
  <si>
    <t>Распределено по 11 критерию</t>
  </si>
  <si>
    <t>Объем дотаций, распределяемый по 12 критерию</t>
  </si>
  <si>
    <t>Установленный 12 критерий выравнивания расчетной бюджетной обеспеченности поселений</t>
  </si>
  <si>
    <t>Распределено по 12 критерию</t>
  </si>
  <si>
    <t>Объем дотаций, распределяемый по 13 критерию</t>
  </si>
  <si>
    <t>Установленный 13 критерий выравнивания расчетной бюджетной обеспеченности поселений</t>
  </si>
  <si>
    <t>Распределено по 13 критерию</t>
  </si>
  <si>
    <t>Объем дотаций, распределяемый по 14 критерию</t>
  </si>
  <si>
    <t>Установленный 14 критерий выравнивания расчетной бюджетной обеспеченности поселений</t>
  </si>
  <si>
    <t>Распределено по 14 критерию</t>
  </si>
  <si>
    <t>Объем дотаций, распределяемый по 15 критерию</t>
  </si>
  <si>
    <t>Установленный 15 критерий выравнивания расчетной бюджетной обеспеченности поселений</t>
  </si>
  <si>
    <t>Распределено по 15 критерию</t>
  </si>
  <si>
    <t>Объем дотаций, распределяемый по 16 критерию</t>
  </si>
  <si>
    <t>Установленный 16 критерий выравнивания расчетной бюджетной обеспеченности поселений</t>
  </si>
  <si>
    <t>Распределено по 16 критерию</t>
  </si>
  <si>
    <t>Объем дотаций, распределяемый по 17 критерию</t>
  </si>
  <si>
    <t>Установленный 17 критерий выравнивания расчетной бюджетной обеспеченности поселений</t>
  </si>
  <si>
    <t>Распределено по 17 критерию</t>
  </si>
  <si>
    <t>Объем дотаций, распределяемый по 18 критерию</t>
  </si>
  <si>
    <t>Установленный десятый критерий выравнивания расчетной бюджетной обеспеченности поселений</t>
  </si>
  <si>
    <t>Распределено по 18 критерию</t>
  </si>
  <si>
    <t>Объем дотаций, распределяемый по 19 критерию</t>
  </si>
  <si>
    <t>Установленный 19 критерий выравнивания расчетной бюджетной обеспеченности поселений</t>
  </si>
  <si>
    <t>Распределено по 19 критерию</t>
  </si>
  <si>
    <t>Объем дотаций, распределяемый по 20 критерию</t>
  </si>
  <si>
    <t>Установленный 20 критерий выравнивания расчетной бюджетной обеспеченности поселений</t>
  </si>
  <si>
    <t>Распределено по 20 критерию</t>
  </si>
  <si>
    <t>Объем дотаций, распределяемый по 21 критерию</t>
  </si>
  <si>
    <t>Установленный 21 критерий выравнивания расчетной бюджетной обеспеченности поселений</t>
  </si>
  <si>
    <t>Распределено по 21 критерию</t>
  </si>
  <si>
    <t>Объем дотаций, распределяемый по 22 критерию</t>
  </si>
  <si>
    <t>Установленный 22 критерий выравнивания расчетной бюджетной обеспеченности поселений</t>
  </si>
  <si>
    <t>Распределено по 22 критерию</t>
  </si>
  <si>
    <t>Объем дотаций, распределяемый по 23 критерию</t>
  </si>
  <si>
    <t>Установленный 23 критерий выравнивания расчетной бюджетной обеспеченности поселений</t>
  </si>
  <si>
    <t>Распределено по 23 критерию</t>
  </si>
  <si>
    <t>Объем дотаций, распределяемый по 24 критерию</t>
  </si>
  <si>
    <t>Установленный 24 критерий выравнивания расчетной бюджетной обеспеченности поселений</t>
  </si>
  <si>
    <t>Распределено по 24 критерию</t>
  </si>
  <si>
    <t>Объем дотаций, распределяемый по 25 критерию</t>
  </si>
  <si>
    <t>Установленный 25 критерий выравнивания расчетной бюджетной обеспеченности поселений</t>
  </si>
  <si>
    <t>Распределено по 25 критерию</t>
  </si>
  <si>
    <t>Объем дотаций, распределяемый по 26 критерию</t>
  </si>
  <si>
    <t>Установленный 26 критерий выравнивания расчетной бюджетной обеспеченности поселений</t>
  </si>
  <si>
    <t>Распределено по 26 критерию</t>
  </si>
  <si>
    <t>Объем дотаций, распределяемый по 27 критерию</t>
  </si>
  <si>
    <t>Установленный 27 критерий выравнивания расчетной бюджетной обеспеченности поселений</t>
  </si>
  <si>
    <t>Распределено по 27 критерию</t>
  </si>
  <si>
    <t>Объем дотаций, распределяемый по 28 критерию</t>
  </si>
  <si>
    <t>Установленный 28 критерий выравнивания расчетной бюджетной обеспеченности поселений</t>
  </si>
  <si>
    <t>Распределено по 28 критерию</t>
  </si>
  <si>
    <t>Объем дотаций, распределяемый по 29 критерию</t>
  </si>
  <si>
    <t>Установленный 29 критерий выравнивания расчетной бюджетной обеспеченности поселений</t>
  </si>
  <si>
    <t>Распределено по 29 критерию</t>
  </si>
  <si>
    <t>Объем дотаций, распределяемый по 30 критерию</t>
  </si>
  <si>
    <t>Установленный 30 критерий выравнивания расчетной бюджетной обеспеченности поселений</t>
  </si>
  <si>
    <t>Распределено по 30 критерию</t>
  </si>
  <si>
    <t>Ф</t>
  </si>
  <si>
    <t>С1</t>
  </si>
  <si>
    <t>Ф1</t>
  </si>
  <si>
    <t>С2</t>
  </si>
  <si>
    <t>Ф2</t>
  </si>
  <si>
    <t>КРПi</t>
  </si>
  <si>
    <t>Нпi/Нi</t>
  </si>
  <si>
    <t>БОi</t>
  </si>
  <si>
    <t>Ф1i</t>
  </si>
  <si>
    <t>Кt</t>
  </si>
  <si>
    <r>
      <rPr>
        <sz val="12"/>
        <rFont val="Times New Roman"/>
        <family val="1"/>
        <charset val="204"/>
      </rPr>
      <t>Кit</t>
    </r>
    <r>
      <rPr>
        <vertAlign val="superscript"/>
        <sz val="12"/>
        <rFont val="Times New Roman"/>
        <family val="1"/>
        <charset val="204"/>
      </rPr>
      <t>СО</t>
    </r>
  </si>
  <si>
    <t>Оit</t>
  </si>
  <si>
    <t>Ф2i</t>
  </si>
  <si>
    <t>КitСО</t>
  </si>
  <si>
    <t>Фi=Ф1i+Ф2i</t>
  </si>
  <si>
    <t>БО</t>
  </si>
  <si>
    <t>процент</t>
  </si>
  <si>
    <t>рублей/человек</t>
  </si>
  <si>
    <t>х</t>
  </si>
  <si>
    <t>Выравнивание исходя из численности постоянного населения</t>
  </si>
  <si>
    <t>Объем дотации, распределенный на 1 этапе (исходя из численности постоянного населения)</t>
  </si>
  <si>
    <t xml:space="preserve">К3i = группы поселений, исходя из численности постоянного населения:                              от 1 до 550 человек коэффициент равен 12,9; от 551 до 700 человек коэффициент равен 12,6; от 701 до 850 человек коэффициент равен 9,2; от 851 до 950 человек коэффициент равен 7,5; от 951 до 1100 человек коэффициент равен 4,6; свыше 1100 человек коэффициент равен 2,8.                                                               на 01.01.2023г.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</si>
</sst>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,##0.0"/>
    <numFmt numFmtId="165" formatCode="#,##0.0_ ;[Red]\-#,##0.0\ "/>
    <numFmt numFmtId="166" formatCode="#,##0.00_ ;[Red]\-#,##0.00\ "/>
    <numFmt numFmtId="167" formatCode="#,##0.0000"/>
    <numFmt numFmtId="168" formatCode="0.0000"/>
    <numFmt numFmtId="169" formatCode="#,##0_ ;[Red]\-#,##0\ "/>
    <numFmt numFmtId="170" formatCode="#,##0.0000;[Red]\-#,##0.0000"/>
    <numFmt numFmtId="171" formatCode="#,##0.000_ ;[Red]\-#,##0.000\ "/>
    <numFmt numFmtId="172" formatCode="#,##0.0000_ ;[Red]\-#,##0.0000\ "/>
    <numFmt numFmtId="173" formatCode="0.000"/>
    <numFmt numFmtId="174" formatCode="0.0"/>
  </numFmts>
  <fonts count="44" x14ac:knownFonts="1"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rgb="FF0000FF"/>
      <name val="Times New Roman"/>
      <family val="1"/>
      <charset val="204"/>
    </font>
    <font>
      <sz val="10"/>
      <name val="Arial Cyr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DD9C3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B7F9A7"/>
        <bgColor rgb="FFCCFFCC"/>
      </patternFill>
    </fill>
    <fill>
      <patternFill patternType="solid">
        <fgColor theme="0"/>
        <bgColor rgb="FFFFFFCC"/>
      </patternFill>
    </fill>
    <fill>
      <patternFill patternType="solid">
        <fgColor theme="2"/>
        <bgColor rgb="FFF2DCDB"/>
      </patternFill>
    </fill>
    <fill>
      <patternFill patternType="solid">
        <fgColor theme="5" tint="0.79979857783745845"/>
        <bgColor rgb="FFEEECE1"/>
      </patternFill>
    </fill>
    <fill>
      <patternFill patternType="solid">
        <fgColor rgb="FF66FFFF"/>
        <bgColor rgb="FF99CCFF"/>
      </patternFill>
    </fill>
    <fill>
      <patternFill patternType="solid">
        <fgColor theme="2" tint="-9.9978637043366805E-2"/>
        <bgColor rgb="FFF2DCDB"/>
      </patternFill>
    </fill>
  </fills>
  <borders count="7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4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3" borderId="0" applyBorder="0" applyProtection="0"/>
    <xf numFmtId="0" fontId="4" fillId="20" borderId="1" applyProtection="0"/>
    <xf numFmtId="0" fontId="5" fillId="21" borderId="2" applyProtection="0"/>
    <xf numFmtId="0" fontId="6" fillId="0" borderId="0" applyBorder="0" applyProtection="0"/>
    <xf numFmtId="0" fontId="7" fillId="4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7" borderId="1" applyProtection="0"/>
    <xf numFmtId="0" fontId="12" fillId="0" borderId="6" applyProtection="0"/>
    <xf numFmtId="0" fontId="13" fillId="22" borderId="0" applyBorder="0" applyProtection="0"/>
    <xf numFmtId="0" fontId="43" fillId="23" borderId="7" applyProtection="0"/>
    <xf numFmtId="0" fontId="14" fillId="20" borderId="8" applyProtection="0"/>
    <xf numFmtId="0" fontId="15" fillId="0" borderId="0" applyBorder="0" applyProtection="0"/>
    <xf numFmtId="0" fontId="16" fillId="0" borderId="9" applyProtection="0"/>
    <xf numFmtId="0" fontId="17" fillId="0" borderId="0" applyBorder="0" applyProtection="0"/>
    <xf numFmtId="0" fontId="43" fillId="0" borderId="10">
      <alignment horizontal="right" vertical="top"/>
    </xf>
    <xf numFmtId="0" fontId="43" fillId="0" borderId="0"/>
  </cellStyleXfs>
  <cellXfs count="248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5" fillId="25" borderId="19" xfId="0" applyFont="1" applyFill="1" applyBorder="1" applyAlignment="1">
      <alignment horizontal="center" vertical="center"/>
    </xf>
    <xf numFmtId="0" fontId="25" fillId="25" borderId="2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25" borderId="23" xfId="0" applyFont="1" applyFill="1" applyBorder="1" applyAlignment="1">
      <alignment horizontal="center" vertical="center"/>
    </xf>
    <xf numFmtId="0" fontId="25" fillId="25" borderId="24" xfId="0" applyFont="1" applyFill="1" applyBorder="1" applyAlignment="1">
      <alignment horizontal="center" vertical="center"/>
    </xf>
    <xf numFmtId="0" fontId="25" fillId="25" borderId="25" xfId="0" applyFont="1" applyFill="1" applyBorder="1" applyAlignment="1">
      <alignment horizontal="center" vertical="center"/>
    </xf>
    <xf numFmtId="0" fontId="18" fillId="25" borderId="26" xfId="0" applyFont="1" applyFill="1" applyBorder="1" applyAlignment="1">
      <alignment horizontal="center" vertical="center"/>
    </xf>
    <xf numFmtId="0" fontId="27" fillId="25" borderId="27" xfId="0" applyFont="1" applyFill="1" applyBorder="1" applyAlignment="1">
      <alignment wrapText="1"/>
    </xf>
    <xf numFmtId="3" fontId="18" fillId="25" borderId="13" xfId="0" applyNumberFormat="1" applyFont="1" applyFill="1" applyBorder="1" applyAlignment="1">
      <alignment horizontal="center" vertical="center"/>
    </xf>
    <xf numFmtId="165" fontId="28" fillId="25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8" fillId="25" borderId="0" xfId="0" applyFont="1" applyFill="1" applyAlignment="1">
      <alignment vertical="center"/>
    </xf>
    <xf numFmtId="0" fontId="0" fillId="25" borderId="0" xfId="0" applyFill="1"/>
    <xf numFmtId="0" fontId="18" fillId="25" borderId="31" xfId="0" applyFont="1" applyFill="1" applyBorder="1" applyAlignment="1">
      <alignment horizontal="center" vertical="center"/>
    </xf>
    <xf numFmtId="0" fontId="27" fillId="25" borderId="32" xfId="0" applyFont="1" applyFill="1" applyBorder="1" applyAlignment="1">
      <alignment wrapText="1"/>
    </xf>
    <xf numFmtId="3" fontId="18" fillId="25" borderId="14" xfId="0" applyNumberFormat="1" applyFont="1" applyFill="1" applyBorder="1" applyAlignment="1">
      <alignment horizontal="center" vertical="center"/>
    </xf>
    <xf numFmtId="0" fontId="29" fillId="25" borderId="34" xfId="0" applyFont="1" applyFill="1" applyBorder="1" applyAlignment="1">
      <alignment wrapText="1"/>
    </xf>
    <xf numFmtId="164" fontId="18" fillId="25" borderId="14" xfId="0" applyNumberFormat="1" applyFont="1" applyFill="1" applyBorder="1" applyAlignment="1">
      <alignment horizontal="center" vertical="center"/>
    </xf>
    <xf numFmtId="164" fontId="18" fillId="25" borderId="35" xfId="0" applyNumberFormat="1" applyFont="1" applyFill="1" applyBorder="1" applyAlignment="1">
      <alignment horizontal="center" vertical="center"/>
    </xf>
    <xf numFmtId="0" fontId="30" fillId="25" borderId="34" xfId="0" applyFont="1" applyFill="1" applyBorder="1" applyAlignment="1">
      <alignment horizontal="left" vertical="center" wrapText="1"/>
    </xf>
    <xf numFmtId="0" fontId="18" fillId="25" borderId="37" xfId="0" applyFont="1" applyFill="1" applyBorder="1" applyAlignment="1">
      <alignment horizontal="center" vertical="center"/>
    </xf>
    <xf numFmtId="0" fontId="30" fillId="25" borderId="38" xfId="0" applyFont="1" applyFill="1" applyBorder="1" applyAlignment="1">
      <alignment horizontal="left" vertical="center" wrapText="1"/>
    </xf>
    <xf numFmtId="3" fontId="18" fillId="25" borderId="15" xfId="0" applyNumberFormat="1" applyFont="1" applyFill="1" applyBorder="1" applyAlignment="1">
      <alignment horizontal="center" vertical="center"/>
    </xf>
    <xf numFmtId="164" fontId="18" fillId="25" borderId="39" xfId="0" applyNumberFormat="1" applyFont="1" applyFill="1" applyBorder="1" applyAlignment="1">
      <alignment horizontal="center" vertical="center"/>
    </xf>
    <xf numFmtId="0" fontId="22" fillId="25" borderId="23" xfId="0" applyFont="1" applyFill="1" applyBorder="1" applyAlignment="1">
      <alignment vertical="center"/>
    </xf>
    <xf numFmtId="0" fontId="22" fillId="25" borderId="43" xfId="0" applyFont="1" applyFill="1" applyBorder="1" applyAlignment="1">
      <alignment vertical="center"/>
    </xf>
    <xf numFmtId="3" fontId="22" fillId="25" borderId="11" xfId="0" applyNumberFormat="1" applyFont="1" applyFill="1" applyBorder="1" applyAlignment="1">
      <alignment horizontal="center" vertical="center"/>
    </xf>
    <xf numFmtId="3" fontId="22" fillId="25" borderId="4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45" xfId="0" applyFont="1" applyFill="1" applyBorder="1" applyAlignment="1">
      <alignment horizontal="center" vertical="center" wrapText="1"/>
    </xf>
    <xf numFmtId="0" fontId="26" fillId="24" borderId="46" xfId="0" applyFont="1" applyFill="1" applyBorder="1" applyAlignment="1">
      <alignment horizontal="center" vertical="center" wrapText="1"/>
    </xf>
    <xf numFmtId="0" fontId="26" fillId="24" borderId="4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33" fillId="0" borderId="23" xfId="0" applyNumberFormat="1" applyFont="1" applyBorder="1" applyAlignment="1">
      <alignment horizontal="center" vertical="center" wrapText="1"/>
    </xf>
    <xf numFmtId="3" fontId="33" fillId="0" borderId="24" xfId="0" applyNumberFormat="1" applyFont="1" applyBorder="1" applyAlignment="1">
      <alignment horizontal="center" vertical="center" wrapText="1"/>
    </xf>
    <xf numFmtId="3" fontId="33" fillId="0" borderId="43" xfId="0" applyNumberFormat="1" applyFont="1" applyBorder="1" applyAlignment="1">
      <alignment horizontal="center" vertical="center" wrapText="1"/>
    </xf>
    <xf numFmtId="3" fontId="33" fillId="26" borderId="11" xfId="0" applyNumberFormat="1" applyFont="1" applyFill="1" applyBorder="1" applyAlignment="1">
      <alignment horizontal="center" vertical="center" wrapText="1"/>
    </xf>
    <xf numFmtId="3" fontId="34" fillId="0" borderId="0" xfId="0" applyNumberFormat="1" applyFont="1" applyAlignment="1">
      <alignment horizontal="center" vertical="center" wrapText="1"/>
    </xf>
    <xf numFmtId="0" fontId="32" fillId="0" borderId="48" xfId="0" applyFont="1" applyBorder="1" applyAlignment="1">
      <alignment horizontal="center" vertical="center"/>
    </xf>
    <xf numFmtId="0" fontId="27" fillId="0" borderId="27" xfId="0" applyFont="1" applyBorder="1" applyAlignment="1">
      <alignment wrapText="1"/>
    </xf>
    <xf numFmtId="167" fontId="18" fillId="0" borderId="29" xfId="0" applyNumberFormat="1" applyFont="1" applyBorder="1" applyAlignment="1">
      <alignment horizontal="center" vertical="center"/>
    </xf>
    <xf numFmtId="167" fontId="18" fillId="0" borderId="30" xfId="0" applyNumberFormat="1" applyFont="1" applyBorder="1" applyAlignment="1">
      <alignment horizontal="center" vertical="center" wrapText="1"/>
    </xf>
    <xf numFmtId="168" fontId="35" fillId="26" borderId="49" xfId="0" applyNumberFormat="1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27" fillId="0" borderId="32" xfId="0" applyFont="1" applyBorder="1" applyAlignment="1">
      <alignment wrapText="1"/>
    </xf>
    <xf numFmtId="167" fontId="18" fillId="0" borderId="10" xfId="0" applyNumberFormat="1" applyFont="1" applyBorder="1" applyAlignment="1">
      <alignment horizontal="center" vertical="center"/>
    </xf>
    <xf numFmtId="167" fontId="18" fillId="0" borderId="33" xfId="0" applyNumberFormat="1" applyFont="1" applyBorder="1" applyAlignment="1">
      <alignment horizontal="center" vertical="center" wrapText="1"/>
    </xf>
    <xf numFmtId="168" fontId="35" fillId="26" borderId="35" xfId="0" applyNumberFormat="1" applyFont="1" applyFill="1" applyBorder="1" applyAlignment="1">
      <alignment horizontal="center" vertical="center" wrapText="1"/>
    </xf>
    <xf numFmtId="0" fontId="36" fillId="0" borderId="50" xfId="0" applyFont="1" applyBorder="1" applyAlignment="1">
      <alignment wrapText="1"/>
    </xf>
    <xf numFmtId="0" fontId="32" fillId="0" borderId="50" xfId="0" applyFont="1" applyBorder="1" applyAlignment="1">
      <alignment vertical="top" wrapText="1"/>
    </xf>
    <xf numFmtId="167" fontId="18" fillId="0" borderId="10" xfId="0" applyNumberFormat="1" applyFont="1" applyBorder="1" applyAlignment="1">
      <alignment horizontal="center"/>
    </xf>
    <xf numFmtId="167" fontId="18" fillId="0" borderId="10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51" xfId="0" applyFont="1" applyBorder="1" applyAlignment="1">
      <alignment vertical="top" wrapText="1"/>
    </xf>
    <xf numFmtId="167" fontId="18" fillId="0" borderId="21" xfId="0" applyNumberFormat="1" applyFont="1" applyBorder="1" applyAlignment="1">
      <alignment horizontal="center" vertical="center" wrapText="1"/>
    </xf>
    <xf numFmtId="167" fontId="18" fillId="0" borderId="22" xfId="0" applyNumberFormat="1" applyFont="1" applyBorder="1" applyAlignment="1">
      <alignment horizontal="center" vertical="center" wrapText="1"/>
    </xf>
    <xf numFmtId="168" fontId="35" fillId="26" borderId="39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22" fillId="23" borderId="52" xfId="0" applyFont="1" applyFill="1" applyBorder="1" applyAlignment="1">
      <alignment horizontal="center" vertical="center" wrapText="1"/>
    </xf>
    <xf numFmtId="0" fontId="22" fillId="25" borderId="53" xfId="0" applyFont="1" applyFill="1" applyBorder="1" applyAlignment="1">
      <alignment horizontal="left" vertical="center" wrapText="1"/>
    </xf>
    <xf numFmtId="0" fontId="22" fillId="25" borderId="0" xfId="0" applyFont="1" applyFill="1" applyBorder="1" applyAlignment="1">
      <alignment vertical="center" wrapText="1"/>
    </xf>
    <xf numFmtId="0" fontId="18" fillId="25" borderId="0" xfId="0" applyFont="1" applyFill="1" applyAlignment="1">
      <alignment vertical="center" wrapText="1"/>
    </xf>
    <xf numFmtId="0" fontId="18" fillId="25" borderId="56" xfId="0" applyFont="1" applyFill="1" applyBorder="1" applyAlignment="1">
      <alignment horizontal="center" vertical="center" textRotation="90" wrapText="1"/>
    </xf>
    <xf numFmtId="0" fontId="18" fillId="25" borderId="21" xfId="0" applyFont="1" applyFill="1" applyBorder="1" applyAlignment="1">
      <alignment horizontal="center" vertical="center" textRotation="90" wrapText="1"/>
    </xf>
    <xf numFmtId="0" fontId="18" fillId="25" borderId="22" xfId="0" applyFont="1" applyFill="1" applyBorder="1" applyAlignment="1">
      <alignment horizontal="center" vertical="center" textRotation="90" wrapText="1"/>
    </xf>
    <xf numFmtId="0" fontId="18" fillId="25" borderId="57" xfId="0" applyFont="1" applyFill="1" applyBorder="1" applyAlignment="1">
      <alignment horizontal="center" vertical="center" textRotation="90" wrapText="1"/>
    </xf>
    <xf numFmtId="0" fontId="18" fillId="25" borderId="58" xfId="0" applyFont="1" applyFill="1" applyBorder="1" applyAlignment="1">
      <alignment horizontal="center" vertical="center" wrapText="1"/>
    </xf>
    <xf numFmtId="0" fontId="18" fillId="25" borderId="59" xfId="0" applyFont="1" applyFill="1" applyBorder="1" applyAlignment="1">
      <alignment horizontal="center" vertical="center" wrapText="1"/>
    </xf>
    <xf numFmtId="0" fontId="18" fillId="25" borderId="60" xfId="0" applyFont="1" applyFill="1" applyBorder="1" applyAlignment="1">
      <alignment horizontal="center" vertical="center" wrapText="1"/>
    </xf>
    <xf numFmtId="0" fontId="18" fillId="25" borderId="19" xfId="0" applyFont="1" applyFill="1" applyBorder="1" applyAlignment="1">
      <alignment horizontal="center" vertical="center" wrapText="1"/>
    </xf>
    <xf numFmtId="0" fontId="18" fillId="25" borderId="20" xfId="0" applyFont="1" applyFill="1" applyBorder="1" applyAlignment="1">
      <alignment horizontal="center" vertical="center" wrapText="1"/>
    </xf>
    <xf numFmtId="0" fontId="32" fillId="25" borderId="61" xfId="0" applyFont="1" applyFill="1" applyBorder="1" applyAlignment="1">
      <alignment horizontal="center" vertical="center" wrapText="1"/>
    </xf>
    <xf numFmtId="0" fontId="18" fillId="25" borderId="54" xfId="0" applyFont="1" applyFill="1" applyBorder="1" applyAlignment="1">
      <alignment horizontal="center" vertical="center" wrapText="1"/>
    </xf>
    <xf numFmtId="0" fontId="18" fillId="27" borderId="46" xfId="0" applyFont="1" applyFill="1" applyBorder="1" applyAlignment="1">
      <alignment horizontal="center" vertical="center" wrapText="1"/>
    </xf>
    <xf numFmtId="0" fontId="18" fillId="23" borderId="46" xfId="0" applyFont="1" applyFill="1" applyBorder="1" applyAlignment="1">
      <alignment horizontal="center" vertical="center" wrapText="1"/>
    </xf>
    <xf numFmtId="0" fontId="18" fillId="23" borderId="11" xfId="0" applyFont="1" applyFill="1" applyBorder="1" applyAlignment="1">
      <alignment horizontal="center" vertical="center" wrapText="1"/>
    </xf>
    <xf numFmtId="0" fontId="22" fillId="28" borderId="19" xfId="0" applyFont="1" applyFill="1" applyBorder="1" applyAlignment="1">
      <alignment horizontal="center" vertical="center" wrapText="1"/>
    </xf>
    <xf numFmtId="0" fontId="18" fillId="27" borderId="60" xfId="0" applyFont="1" applyFill="1" applyBorder="1" applyAlignment="1">
      <alignment horizontal="center" vertical="center" wrapText="1"/>
    </xf>
    <xf numFmtId="0" fontId="32" fillId="25" borderId="11" xfId="0" applyFont="1" applyFill="1" applyBorder="1" applyAlignment="1">
      <alignment horizontal="center" vertical="center" wrapText="1"/>
    </xf>
    <xf numFmtId="0" fontId="32" fillId="25" borderId="62" xfId="0" applyFont="1" applyFill="1" applyBorder="1" applyAlignment="1">
      <alignment horizontal="center" vertical="center" wrapText="1"/>
    </xf>
    <xf numFmtId="0" fontId="32" fillId="25" borderId="23" xfId="0" applyFont="1" applyFill="1" applyBorder="1" applyAlignment="1">
      <alignment horizontal="center" vertical="center" wrapText="1"/>
    </xf>
    <xf numFmtId="0" fontId="32" fillId="25" borderId="25" xfId="0" applyFont="1" applyFill="1" applyBorder="1" applyAlignment="1">
      <alignment horizontal="center" vertical="center" wrapText="1"/>
    </xf>
    <xf numFmtId="0" fontId="32" fillId="25" borderId="44" xfId="0" applyFont="1" applyFill="1" applyBorder="1" applyAlignment="1">
      <alignment horizontal="center" vertical="center" wrapText="1"/>
    </xf>
    <xf numFmtId="0" fontId="32" fillId="25" borderId="24" xfId="0" applyFont="1" applyFill="1" applyBorder="1" applyAlignment="1">
      <alignment horizontal="center" vertical="center" wrapText="1"/>
    </xf>
    <xf numFmtId="0" fontId="32" fillId="25" borderId="43" xfId="0" applyFont="1" applyFill="1" applyBorder="1" applyAlignment="1">
      <alignment horizontal="center" vertical="center" wrapText="1"/>
    </xf>
    <xf numFmtId="0" fontId="32" fillId="27" borderId="11" xfId="0" applyFont="1" applyFill="1" applyBorder="1" applyAlignment="1">
      <alignment horizontal="center" vertical="center" wrapText="1"/>
    </xf>
    <xf numFmtId="0" fontId="32" fillId="23" borderId="11" xfId="0" applyFont="1" applyFill="1" applyBorder="1" applyAlignment="1">
      <alignment horizontal="center" vertical="center" wrapText="1"/>
    </xf>
    <xf numFmtId="0" fontId="35" fillId="28" borderId="4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32" fillId="25" borderId="0" xfId="0" applyFont="1" applyFill="1" applyAlignment="1">
      <alignment horizontal="center" vertical="center" wrapText="1"/>
    </xf>
    <xf numFmtId="0" fontId="25" fillId="25" borderId="46" xfId="0" applyFont="1" applyFill="1" applyBorder="1" applyAlignment="1">
      <alignment horizontal="center" vertical="center"/>
    </xf>
    <xf numFmtId="0" fontId="25" fillId="25" borderId="58" xfId="0" applyFont="1" applyFill="1" applyBorder="1" applyAlignment="1">
      <alignment horizontal="center" vertical="center"/>
    </xf>
    <xf numFmtId="0" fontId="25" fillId="25" borderId="59" xfId="0" applyFont="1" applyFill="1" applyBorder="1" applyAlignment="1">
      <alignment horizontal="center" vertical="center"/>
    </xf>
    <xf numFmtId="0" fontId="25" fillId="25" borderId="60" xfId="0" applyFont="1" applyFill="1" applyBorder="1" applyAlignment="1">
      <alignment horizontal="center" vertical="center"/>
    </xf>
    <xf numFmtId="0" fontId="25" fillId="25" borderId="54" xfId="0" applyFont="1" applyFill="1" applyBorder="1" applyAlignment="1">
      <alignment horizontal="center" vertical="center"/>
    </xf>
    <xf numFmtId="0" fontId="25" fillId="27" borderId="46" xfId="0" applyFont="1" applyFill="1" applyBorder="1" applyAlignment="1">
      <alignment horizontal="center" vertical="center"/>
    </xf>
    <xf numFmtId="0" fontId="25" fillId="23" borderId="46" xfId="0" applyFont="1" applyFill="1" applyBorder="1" applyAlignment="1">
      <alignment horizontal="center" vertical="center"/>
    </xf>
    <xf numFmtId="0" fontId="25" fillId="25" borderId="63" xfId="0" applyFont="1" applyFill="1" applyBorder="1" applyAlignment="1">
      <alignment horizontal="center" vertical="center"/>
    </xf>
    <xf numFmtId="0" fontId="25" fillId="23" borderId="11" xfId="0" applyFont="1" applyFill="1" applyBorder="1" applyAlignment="1">
      <alignment horizontal="center" vertical="center"/>
    </xf>
    <xf numFmtId="0" fontId="33" fillId="28" borderId="19" xfId="0" applyFont="1" applyFill="1" applyBorder="1" applyAlignment="1">
      <alignment horizontal="center" vertical="center"/>
    </xf>
    <xf numFmtId="0" fontId="25" fillId="27" borderId="60" xfId="0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30" fillId="0" borderId="55" xfId="0" applyFont="1" applyBorder="1" applyAlignment="1">
      <alignment wrapText="1"/>
    </xf>
    <xf numFmtId="0" fontId="18" fillId="25" borderId="13" xfId="0" applyFont="1" applyFill="1" applyBorder="1" applyAlignment="1">
      <alignment horizontal="center" vertical="center"/>
    </xf>
    <xf numFmtId="169" fontId="18" fillId="25" borderId="16" xfId="0" applyNumberFormat="1" applyFont="1" applyFill="1" applyBorder="1" applyAlignment="1">
      <alignment vertical="center"/>
    </xf>
    <xf numFmtId="169" fontId="18" fillId="25" borderId="17" xfId="0" applyNumberFormat="1" applyFont="1" applyFill="1" applyBorder="1" applyAlignment="1">
      <alignment vertical="center"/>
    </xf>
    <xf numFmtId="170" fontId="18" fillId="25" borderId="17" xfId="0" applyNumberFormat="1" applyFont="1" applyFill="1" applyBorder="1" applyAlignment="1">
      <alignment vertical="center"/>
    </xf>
    <xf numFmtId="0" fontId="18" fillId="25" borderId="64" xfId="0" applyFont="1" applyFill="1" applyBorder="1" applyAlignment="1">
      <alignment horizontal="center" vertical="center"/>
    </xf>
    <xf numFmtId="170" fontId="18" fillId="27" borderId="13" xfId="0" applyNumberFormat="1" applyFont="1" applyFill="1" applyBorder="1" applyAlignment="1">
      <alignment vertical="center"/>
    </xf>
    <xf numFmtId="166" fontId="18" fillId="23" borderId="13" xfId="0" applyNumberFormat="1" applyFont="1" applyFill="1" applyBorder="1" applyAlignment="1">
      <alignment vertical="center"/>
    </xf>
    <xf numFmtId="167" fontId="18" fillId="25" borderId="26" xfId="0" applyNumberFormat="1" applyFont="1" applyFill="1" applyBorder="1" applyAlignment="1">
      <alignment horizontal="center" vertical="center"/>
    </xf>
    <xf numFmtId="0" fontId="18" fillId="25" borderId="29" xfId="0" applyFont="1" applyFill="1" applyBorder="1" applyAlignment="1">
      <alignment horizontal="center" vertical="center"/>
    </xf>
    <xf numFmtId="171" fontId="18" fillId="25" borderId="29" xfId="0" applyNumberFormat="1" applyFont="1" applyFill="1" applyBorder="1" applyAlignment="1">
      <alignment vertical="center"/>
    </xf>
    <xf numFmtId="166" fontId="18" fillId="25" borderId="65" xfId="0" applyNumberFormat="1" applyFont="1" applyFill="1" applyBorder="1" applyAlignment="1">
      <alignment vertical="center"/>
    </xf>
    <xf numFmtId="166" fontId="18" fillId="25" borderId="30" xfId="0" applyNumberFormat="1" applyFont="1" applyFill="1" applyBorder="1" applyAlignment="1">
      <alignment vertical="center"/>
    </xf>
    <xf numFmtId="0" fontId="18" fillId="25" borderId="16" xfId="0" applyFont="1" applyFill="1" applyBorder="1" applyAlignment="1">
      <alignment horizontal="center" vertical="center"/>
    </xf>
    <xf numFmtId="0" fontId="18" fillId="25" borderId="17" xfId="0" applyFont="1" applyFill="1" applyBorder="1" applyAlignment="1">
      <alignment horizontal="center" vertical="center"/>
    </xf>
    <xf numFmtId="167" fontId="18" fillId="25" borderId="17" xfId="0" applyNumberFormat="1" applyFont="1" applyFill="1" applyBorder="1" applyAlignment="1">
      <alignment horizontal="right" vertical="center"/>
    </xf>
    <xf numFmtId="171" fontId="18" fillId="25" borderId="17" xfId="0" applyNumberFormat="1" applyFont="1" applyFill="1" applyBorder="1" applyAlignment="1">
      <alignment vertical="center"/>
    </xf>
    <xf numFmtId="166" fontId="18" fillId="25" borderId="17" xfId="0" applyNumberFormat="1" applyFont="1" applyFill="1" applyBorder="1" applyAlignment="1">
      <alignment vertical="center"/>
    </xf>
    <xf numFmtId="166" fontId="18" fillId="25" borderId="18" xfId="0" applyNumberFormat="1" applyFont="1" applyFill="1" applyBorder="1" applyAlignment="1">
      <alignment vertical="center"/>
    </xf>
    <xf numFmtId="0" fontId="18" fillId="25" borderId="28" xfId="0" applyFont="1" applyFill="1" applyBorder="1" applyAlignment="1">
      <alignment horizontal="center" vertical="center"/>
    </xf>
    <xf numFmtId="166" fontId="18" fillId="25" borderId="64" xfId="0" applyNumberFormat="1" applyFont="1" applyFill="1" applyBorder="1" applyAlignment="1">
      <alignment vertical="center"/>
    </xf>
    <xf numFmtId="167" fontId="18" fillId="25" borderId="65" xfId="0" applyNumberFormat="1" applyFont="1" applyFill="1" applyBorder="1" applyAlignment="1">
      <alignment horizontal="right" vertical="center"/>
    </xf>
    <xf numFmtId="166" fontId="18" fillId="25" borderId="10" xfId="0" applyNumberFormat="1" applyFont="1" applyFill="1" applyBorder="1" applyAlignment="1">
      <alignment vertical="center"/>
    </xf>
    <xf numFmtId="167" fontId="18" fillId="25" borderId="63" xfId="0" applyNumberFormat="1" applyFont="1" applyFill="1" applyBorder="1" applyAlignment="1">
      <alignment horizontal="right" vertical="center"/>
    </xf>
    <xf numFmtId="166" fontId="18" fillId="25" borderId="66" xfId="0" applyNumberFormat="1" applyFont="1" applyFill="1" applyBorder="1" applyAlignment="1">
      <alignment vertical="center"/>
    </xf>
    <xf numFmtId="166" fontId="18" fillId="23" borderId="67" xfId="0" applyNumberFormat="1" applyFont="1" applyFill="1" applyBorder="1" applyAlignment="1">
      <alignment vertical="center"/>
    </xf>
    <xf numFmtId="166" fontId="22" fillId="28" borderId="29" xfId="0" applyNumberFormat="1" applyFont="1" applyFill="1" applyBorder="1" applyAlignment="1">
      <alignment vertical="center"/>
    </xf>
    <xf numFmtId="168" fontId="18" fillId="27" borderId="30" xfId="0" applyNumberFormat="1" applyFont="1" applyFill="1" applyBorder="1" applyAlignment="1">
      <alignment horizontal="center" vertical="center"/>
    </xf>
    <xf numFmtId="0" fontId="29" fillId="0" borderId="50" xfId="0" applyFont="1" applyBorder="1" applyAlignment="1">
      <alignment wrapText="1"/>
    </xf>
    <xf numFmtId="0" fontId="18" fillId="25" borderId="14" xfId="0" applyFont="1" applyFill="1" applyBorder="1" applyAlignment="1">
      <alignment horizontal="center" vertical="center"/>
    </xf>
    <xf numFmtId="169" fontId="18" fillId="25" borderId="36" xfId="0" applyNumberFormat="1" applyFont="1" applyFill="1" applyBorder="1" applyAlignment="1">
      <alignment vertical="center"/>
    </xf>
    <xf numFmtId="169" fontId="18" fillId="25" borderId="10" xfId="0" applyNumberFormat="1" applyFont="1" applyFill="1" applyBorder="1" applyAlignment="1">
      <alignment vertical="center"/>
    </xf>
    <xf numFmtId="170" fontId="18" fillId="25" borderId="10" xfId="0" applyNumberFormat="1" applyFont="1" applyFill="1" applyBorder="1" applyAlignment="1">
      <alignment vertical="center"/>
    </xf>
    <xf numFmtId="0" fontId="18" fillId="25" borderId="34" xfId="0" applyFont="1" applyFill="1" applyBorder="1" applyAlignment="1">
      <alignment horizontal="center" vertical="center"/>
    </xf>
    <xf numFmtId="170" fontId="18" fillId="27" borderId="14" xfId="0" applyNumberFormat="1" applyFont="1" applyFill="1" applyBorder="1" applyAlignment="1">
      <alignment vertical="center"/>
    </xf>
    <xf numFmtId="166" fontId="18" fillId="23" borderId="14" xfId="0" applyNumberFormat="1" applyFont="1" applyFill="1" applyBorder="1" applyAlignment="1">
      <alignment vertical="center"/>
    </xf>
    <xf numFmtId="167" fontId="18" fillId="25" borderId="31" xfId="0" applyNumberFormat="1" applyFont="1" applyFill="1" applyBorder="1" applyAlignment="1">
      <alignment horizontal="center" vertical="center"/>
    </xf>
    <xf numFmtId="0" fontId="18" fillId="25" borderId="10" xfId="0" applyFont="1" applyFill="1" applyBorder="1" applyAlignment="1">
      <alignment horizontal="center" vertical="center"/>
    </xf>
    <xf numFmtId="171" fontId="18" fillId="25" borderId="10" xfId="0" applyNumberFormat="1" applyFont="1" applyFill="1" applyBorder="1" applyAlignment="1">
      <alignment vertical="center"/>
    </xf>
    <xf numFmtId="166" fontId="18" fillId="25" borderId="33" xfId="0" applyNumberFormat="1" applyFont="1" applyFill="1" applyBorder="1" applyAlignment="1">
      <alignment vertical="center"/>
    </xf>
    <xf numFmtId="0" fontId="18" fillId="25" borderId="36" xfId="0" applyFont="1" applyFill="1" applyBorder="1" applyAlignment="1">
      <alignment horizontal="center" vertical="center"/>
    </xf>
    <xf numFmtId="167" fontId="18" fillId="25" borderId="10" xfId="0" applyNumberFormat="1" applyFont="1" applyFill="1" applyBorder="1" applyAlignment="1">
      <alignment horizontal="right" vertical="center"/>
    </xf>
    <xf numFmtId="166" fontId="18" fillId="25" borderId="34" xfId="0" applyNumberFormat="1" applyFont="1" applyFill="1" applyBorder="1" applyAlignment="1">
      <alignment vertical="center"/>
    </xf>
    <xf numFmtId="166" fontId="18" fillId="23" borderId="31" xfId="0" applyNumberFormat="1" applyFont="1" applyFill="1" applyBorder="1" applyAlignment="1">
      <alignment vertical="center"/>
    </xf>
    <xf numFmtId="166" fontId="22" fillId="28" borderId="10" xfId="0" applyNumberFormat="1" applyFont="1" applyFill="1" applyBorder="1" applyAlignment="1">
      <alignment vertical="center"/>
    </xf>
    <xf numFmtId="168" fontId="18" fillId="27" borderId="33" xfId="0" applyNumberFormat="1" applyFont="1" applyFill="1" applyBorder="1" applyAlignment="1">
      <alignment horizontal="center" vertical="center"/>
    </xf>
    <xf numFmtId="0" fontId="29" fillId="0" borderId="68" xfId="0" applyFont="1" applyBorder="1" applyAlignment="1">
      <alignment wrapText="1"/>
    </xf>
    <xf numFmtId="0" fontId="18" fillId="25" borderId="69" xfId="0" applyFont="1" applyFill="1" applyBorder="1" applyAlignment="1">
      <alignment horizontal="center" vertical="center"/>
    </xf>
    <xf numFmtId="169" fontId="18" fillId="25" borderId="40" xfId="0" applyNumberFormat="1" applyFont="1" applyFill="1" applyBorder="1" applyAlignment="1">
      <alignment vertical="center"/>
    </xf>
    <xf numFmtId="169" fontId="18" fillId="25" borderId="41" xfId="0" applyNumberFormat="1" applyFont="1" applyFill="1" applyBorder="1" applyAlignment="1">
      <alignment vertical="center"/>
    </xf>
    <xf numFmtId="170" fontId="18" fillId="25" borderId="41" xfId="0" applyNumberFormat="1" applyFont="1" applyFill="1" applyBorder="1" applyAlignment="1">
      <alignment vertical="center"/>
    </xf>
    <xf numFmtId="0" fontId="18" fillId="25" borderId="38" xfId="0" applyFont="1" applyFill="1" applyBorder="1" applyAlignment="1">
      <alignment horizontal="center" vertical="center"/>
    </xf>
    <xf numFmtId="170" fontId="18" fillId="27" borderId="69" xfId="0" applyNumberFormat="1" applyFont="1" applyFill="1" applyBorder="1" applyAlignment="1">
      <alignment vertical="center"/>
    </xf>
    <xf numFmtId="166" fontId="18" fillId="23" borderId="69" xfId="0" applyNumberFormat="1" applyFont="1" applyFill="1" applyBorder="1" applyAlignment="1">
      <alignment vertical="center"/>
    </xf>
    <xf numFmtId="167" fontId="18" fillId="25" borderId="37" xfId="0" applyNumberFormat="1" applyFont="1" applyFill="1" applyBorder="1" applyAlignment="1">
      <alignment horizontal="center" vertical="center"/>
    </xf>
    <xf numFmtId="0" fontId="18" fillId="25" borderId="41" xfId="0" applyFont="1" applyFill="1" applyBorder="1" applyAlignment="1">
      <alignment horizontal="center" vertical="center"/>
    </xf>
    <xf numFmtId="171" fontId="18" fillId="25" borderId="41" xfId="0" applyNumberFormat="1" applyFont="1" applyFill="1" applyBorder="1" applyAlignment="1">
      <alignment vertical="center"/>
    </xf>
    <xf numFmtId="166" fontId="18" fillId="25" borderId="42" xfId="0" applyNumberFormat="1" applyFont="1" applyFill="1" applyBorder="1" applyAlignment="1">
      <alignment vertical="center"/>
    </xf>
    <xf numFmtId="0" fontId="18" fillId="25" borderId="40" xfId="0" applyFont="1" applyFill="1" applyBorder="1" applyAlignment="1">
      <alignment horizontal="center" vertical="center"/>
    </xf>
    <xf numFmtId="167" fontId="18" fillId="25" borderId="41" xfId="0" applyNumberFormat="1" applyFont="1" applyFill="1" applyBorder="1" applyAlignment="1">
      <alignment horizontal="right" vertical="center"/>
    </xf>
    <xf numFmtId="166" fontId="18" fillId="25" borderId="38" xfId="0" applyNumberFormat="1" applyFont="1" applyFill="1" applyBorder="1" applyAlignment="1">
      <alignment vertical="center"/>
    </xf>
    <xf numFmtId="0" fontId="29" fillId="0" borderId="34" xfId="0" applyFont="1" applyBorder="1" applyAlignment="1">
      <alignment wrapText="1"/>
    </xf>
    <xf numFmtId="0" fontId="29" fillId="0" borderId="38" xfId="0" applyFont="1" applyBorder="1" applyAlignment="1">
      <alignment wrapText="1"/>
    </xf>
    <xf numFmtId="166" fontId="18" fillId="23" borderId="56" xfId="0" applyNumberFormat="1" applyFont="1" applyFill="1" applyBorder="1" applyAlignment="1">
      <alignment vertical="center"/>
    </xf>
    <xf numFmtId="166" fontId="22" fillId="28" borderId="21" xfId="0" applyNumberFormat="1" applyFont="1" applyFill="1" applyBorder="1" applyAlignment="1">
      <alignment vertical="center"/>
    </xf>
    <xf numFmtId="168" fontId="18" fillId="27" borderId="22" xfId="0" applyNumberFormat="1" applyFont="1" applyFill="1" applyBorder="1" applyAlignment="1">
      <alignment horizontal="center" vertical="center"/>
    </xf>
    <xf numFmtId="0" fontId="41" fillId="25" borderId="11" xfId="0" applyFont="1" applyFill="1" applyBorder="1" applyAlignment="1">
      <alignment wrapText="1"/>
    </xf>
    <xf numFmtId="166" fontId="42" fillId="29" borderId="62" xfId="0" applyNumberFormat="1" applyFont="1" applyFill="1" applyBorder="1" applyAlignment="1">
      <alignment horizontal="right" vertical="center"/>
    </xf>
    <xf numFmtId="165" fontId="42" fillId="29" borderId="23" xfId="0" applyNumberFormat="1" applyFont="1" applyFill="1" applyBorder="1" applyAlignment="1">
      <alignment horizontal="right" vertical="center"/>
    </xf>
    <xf numFmtId="166" fontId="22" fillId="25" borderId="25" xfId="0" applyNumberFormat="1" applyFont="1" applyFill="1" applyBorder="1" applyAlignment="1">
      <alignment horizontal="right" vertical="center"/>
    </xf>
    <xf numFmtId="165" fontId="22" fillId="25" borderId="23" xfId="0" applyNumberFormat="1" applyFont="1" applyFill="1" applyBorder="1" applyAlignment="1">
      <alignment horizontal="right" vertical="center"/>
    </xf>
    <xf numFmtId="169" fontId="22" fillId="25" borderId="44" xfId="0" applyNumberFormat="1" applyFont="1" applyFill="1" applyBorder="1" applyAlignment="1">
      <alignment horizontal="right" vertical="center"/>
    </xf>
    <xf numFmtId="172" fontId="22" fillId="25" borderId="24" xfId="0" applyNumberFormat="1" applyFont="1" applyFill="1" applyBorder="1" applyAlignment="1">
      <alignment horizontal="center" vertical="center" wrapText="1"/>
    </xf>
    <xf numFmtId="166" fontId="22" fillId="4" borderId="43" xfId="0" applyNumberFormat="1" applyFont="1" applyFill="1" applyBorder="1" applyAlignment="1">
      <alignment horizontal="center" vertical="center"/>
    </xf>
    <xf numFmtId="172" fontId="22" fillId="27" borderId="11" xfId="0" applyNumberFormat="1" applyFont="1" applyFill="1" applyBorder="1" applyAlignment="1">
      <alignment horizontal="center" vertical="center" wrapText="1"/>
    </xf>
    <xf numFmtId="166" fontId="22" fillId="23" borderId="11" xfId="0" applyNumberFormat="1" applyFont="1" applyFill="1" applyBorder="1" applyAlignment="1">
      <alignment vertical="center"/>
    </xf>
    <xf numFmtId="4" fontId="22" fillId="25" borderId="23" xfId="0" applyNumberFormat="1" applyFont="1" applyFill="1" applyBorder="1" applyAlignment="1">
      <alignment horizontal="center" vertical="center"/>
    </xf>
    <xf numFmtId="168" fontId="42" fillId="25" borderId="24" xfId="0" applyNumberFormat="1" applyFont="1" applyFill="1" applyBorder="1" applyAlignment="1">
      <alignment horizontal="center" vertical="center"/>
    </xf>
    <xf numFmtId="173" fontId="22" fillId="25" borderId="24" xfId="0" applyNumberFormat="1" applyFont="1" applyFill="1" applyBorder="1" applyAlignment="1">
      <alignment horizontal="center" vertical="center"/>
    </xf>
    <xf numFmtId="166" fontId="22" fillId="25" borderId="24" xfId="0" applyNumberFormat="1" applyFont="1" applyFill="1" applyBorder="1" applyAlignment="1">
      <alignment horizontal="right" vertical="center"/>
    </xf>
    <xf numFmtId="166" fontId="22" fillId="25" borderId="23" xfId="0" applyNumberFormat="1" applyFont="1" applyFill="1" applyBorder="1" applyAlignment="1">
      <alignment horizontal="right" vertical="center"/>
    </xf>
    <xf numFmtId="166" fontId="22" fillId="25" borderId="20" xfId="0" applyNumberFormat="1" applyFont="1" applyFill="1" applyBorder="1" applyAlignment="1">
      <alignment horizontal="right" vertical="center"/>
    </xf>
    <xf numFmtId="166" fontId="22" fillId="23" borderId="19" xfId="0" applyNumberFormat="1" applyFont="1" applyFill="1" applyBorder="1" applyAlignment="1">
      <alignment horizontal="right" vertical="center"/>
    </xf>
    <xf numFmtId="166" fontId="22" fillId="28" borderId="20" xfId="0" applyNumberFormat="1" applyFont="1" applyFill="1" applyBorder="1" applyAlignment="1">
      <alignment vertical="center"/>
    </xf>
    <xf numFmtId="0" fontId="22" fillId="27" borderId="60" xfId="0" applyFont="1" applyFill="1" applyBorder="1" applyAlignment="1">
      <alignment horizontal="center" vertical="center"/>
    </xf>
    <xf numFmtId="0" fontId="22" fillId="25" borderId="0" xfId="0" applyFont="1" applyFill="1" applyAlignment="1">
      <alignment vertical="center"/>
    </xf>
    <xf numFmtId="168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167" fontId="18" fillId="0" borderId="0" xfId="0" applyNumberFormat="1" applyFont="1" applyAlignment="1">
      <alignment vertical="center"/>
    </xf>
    <xf numFmtId="164" fontId="24" fillId="24" borderId="27" xfId="0" applyNumberFormat="1" applyFont="1" applyFill="1" applyBorder="1" applyAlignment="1">
      <alignment horizontal="center" vertical="center" wrapText="1"/>
    </xf>
    <xf numFmtId="164" fontId="26" fillId="24" borderId="57" xfId="0" applyNumberFormat="1" applyFont="1" applyFill="1" applyBorder="1" applyAlignment="1">
      <alignment horizontal="center" vertical="center" wrapText="1"/>
    </xf>
    <xf numFmtId="0" fontId="25" fillId="25" borderId="43" xfId="0" applyFont="1" applyFill="1" applyBorder="1" applyAlignment="1">
      <alignment horizontal="center" vertical="center"/>
    </xf>
    <xf numFmtId="165" fontId="18" fillId="25" borderId="70" xfId="0" applyNumberFormat="1" applyFont="1" applyFill="1" applyBorder="1" applyAlignment="1">
      <alignment horizontal="center" vertical="center" wrapText="1"/>
    </xf>
    <xf numFmtId="164" fontId="18" fillId="25" borderId="32" xfId="0" applyNumberFormat="1" applyFont="1" applyFill="1" applyBorder="1" applyAlignment="1">
      <alignment horizontal="center" vertical="center"/>
    </xf>
    <xf numFmtId="164" fontId="18" fillId="25" borderId="71" xfId="0" applyNumberFormat="1" applyFont="1" applyFill="1" applyBorder="1" applyAlignment="1">
      <alignment horizontal="center" vertical="center"/>
    </xf>
    <xf numFmtId="164" fontId="22" fillId="25" borderId="43" xfId="0" applyNumberFormat="1" applyFont="1" applyFill="1" applyBorder="1" applyAlignment="1">
      <alignment horizontal="center" vertical="center"/>
    </xf>
    <xf numFmtId="164" fontId="26" fillId="24" borderId="15" xfId="0" applyNumberFormat="1" applyFont="1" applyFill="1" applyBorder="1" applyAlignment="1">
      <alignment horizontal="center" vertical="center" wrapText="1"/>
    </xf>
    <xf numFmtId="0" fontId="25" fillId="25" borderId="11" xfId="0" applyFont="1" applyFill="1" applyBorder="1" applyAlignment="1">
      <alignment horizontal="center" vertical="center"/>
    </xf>
    <xf numFmtId="166" fontId="18" fillId="25" borderId="48" xfId="0" applyNumberFormat="1" applyFont="1" applyFill="1" applyBorder="1" applyAlignment="1">
      <alignment horizontal="center" vertical="center" wrapText="1"/>
    </xf>
    <xf numFmtId="166" fontId="18" fillId="25" borderId="14" xfId="0" applyNumberFormat="1" applyFont="1" applyFill="1" applyBorder="1" applyAlignment="1">
      <alignment horizontal="center" vertical="center" wrapText="1"/>
    </xf>
    <xf numFmtId="164" fontId="18" fillId="25" borderId="69" xfId="0" applyNumberFormat="1" applyFont="1" applyFill="1" applyBorder="1" applyAlignment="1">
      <alignment horizontal="center" vertical="center"/>
    </xf>
    <xf numFmtId="4" fontId="22" fillId="25" borderId="11" xfId="0" applyNumberFormat="1" applyFont="1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 wrapText="1"/>
    </xf>
    <xf numFmtId="164" fontId="24" fillId="24" borderId="48" xfId="0" applyNumberFormat="1" applyFont="1" applyFill="1" applyBorder="1" applyAlignment="1">
      <alignment horizontal="center" vertical="center" wrapText="1"/>
    </xf>
    <xf numFmtId="0" fontId="18" fillId="24" borderId="15" xfId="0" applyFont="1" applyFill="1" applyBorder="1" applyAlignment="1">
      <alignment horizontal="center" vertical="center" wrapText="1"/>
    </xf>
    <xf numFmtId="174" fontId="32" fillId="0" borderId="17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/>
    </xf>
    <xf numFmtId="0" fontId="32" fillId="0" borderId="11" xfId="0" applyFont="1" applyBorder="1" applyAlignment="1">
      <alignment horizontal="center" vertical="center" wrapText="1"/>
    </xf>
    <xf numFmtId="0" fontId="33" fillId="26" borderId="11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justify" vertical="center" wrapText="1"/>
    </xf>
    <xf numFmtId="0" fontId="22" fillId="25" borderId="55" xfId="0" applyFont="1" applyFill="1" applyBorder="1" applyAlignment="1">
      <alignment horizontal="center" vertical="center" wrapText="1"/>
    </xf>
    <xf numFmtId="0" fontId="22" fillId="23" borderId="11" xfId="0" applyFont="1" applyFill="1" applyBorder="1" applyAlignment="1">
      <alignment horizontal="center" vertical="center" wrapText="1"/>
    </xf>
    <xf numFmtId="0" fontId="22" fillId="25" borderId="13" xfId="0" applyFont="1" applyFill="1" applyBorder="1" applyAlignment="1">
      <alignment horizontal="center" vertical="center" wrapText="1"/>
    </xf>
    <xf numFmtId="0" fontId="22" fillId="25" borderId="53" xfId="0" applyFont="1" applyFill="1" applyBorder="1" applyAlignment="1">
      <alignment horizontal="left" vertical="center" wrapText="1"/>
    </xf>
    <xf numFmtId="0" fontId="22" fillId="23" borderId="23" xfId="0" applyFont="1" applyFill="1" applyBorder="1" applyAlignment="1">
      <alignment horizontal="center" vertical="center" wrapText="1"/>
    </xf>
    <xf numFmtId="0" fontId="22" fillId="28" borderId="24" xfId="0" applyFont="1" applyFill="1" applyBorder="1" applyAlignment="1">
      <alignment horizontal="center" vertical="center" wrapText="1"/>
    </xf>
    <xf numFmtId="0" fontId="22" fillId="27" borderId="25" xfId="0" applyFont="1" applyFill="1" applyBorder="1" applyAlignment="1">
      <alignment horizontal="center" vertical="center" wrapText="1"/>
    </xf>
    <xf numFmtId="0" fontId="18" fillId="25" borderId="11" xfId="0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0" fontId="22" fillId="25" borderId="52" xfId="0" applyFont="1" applyFill="1" applyBorder="1" applyAlignment="1">
      <alignment horizontal="center" vertical="center" wrapText="1"/>
    </xf>
    <xf numFmtId="0" fontId="22" fillId="25" borderId="11" xfId="0" applyFont="1" applyFill="1" applyBorder="1" applyAlignment="1">
      <alignment horizontal="center" vertical="center" wrapText="1"/>
    </xf>
    <xf numFmtId="0" fontId="22" fillId="27" borderId="11" xfId="0" applyFont="1" applyFill="1" applyBorder="1" applyAlignment="1">
      <alignment horizontal="center" vertical="center" wrapText="1"/>
    </xf>
    <xf numFmtId="0" fontId="20" fillId="25" borderId="13" xfId="0" applyFont="1" applyFill="1" applyBorder="1" applyAlignment="1">
      <alignment horizontal="center" vertical="center" wrapText="1"/>
    </xf>
    <xf numFmtId="0" fontId="18" fillId="25" borderId="19" xfId="0" applyFont="1" applyFill="1" applyBorder="1" applyAlignment="1">
      <alignment horizontal="center" vertical="center" textRotation="90" wrapText="1"/>
    </xf>
    <xf numFmtId="0" fontId="18" fillId="25" borderId="20" xfId="0" applyFont="1" applyFill="1" applyBorder="1" applyAlignment="1">
      <alignment horizontal="center" vertical="center" textRotation="90" wrapText="1"/>
    </xf>
    <xf numFmtId="0" fontId="18" fillId="25" borderId="54" xfId="0" applyFont="1" applyFill="1" applyBorder="1" applyAlignment="1">
      <alignment horizontal="center" vertical="center" textRotation="90" wrapText="1"/>
    </xf>
    <xf numFmtId="0" fontId="18" fillId="25" borderId="15" xfId="0" applyFont="1" applyFill="1" applyBorder="1" applyAlignment="1">
      <alignment horizontal="center" vertical="center" wrapText="1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 1" xfId="25"/>
    <cellStyle name="Calculation" xfId="26"/>
    <cellStyle name="Check Cell" xfId="27"/>
    <cellStyle name="Explanatory Text" xfId="28"/>
    <cellStyle name="Good 2" xfId="29"/>
    <cellStyle name="Heading 1 3" xfId="30"/>
    <cellStyle name="Heading 2 4" xfId="31"/>
    <cellStyle name="Heading 3" xfId="32"/>
    <cellStyle name="Heading 4" xfId="33"/>
    <cellStyle name="Input" xfId="34"/>
    <cellStyle name="Linked Cell" xfId="35"/>
    <cellStyle name="Neutral 5" xfId="36"/>
    <cellStyle name="Note 6" xfId="37"/>
    <cellStyle name="Output" xfId="38"/>
    <cellStyle name="Title" xfId="39"/>
    <cellStyle name="Total" xfId="40"/>
    <cellStyle name="Warning Text" xfId="41"/>
    <cellStyle name="Данные (только для чтения)" xfId="42"/>
    <cellStyle name="Обычный" xfId="0" builtinId="0"/>
    <cellStyle name="Обычный 2" xfId="4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66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DDD9C3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2DCDB"/>
      <rgbColor rgb="FF00FFFF"/>
      <rgbColor rgb="FF800080"/>
      <rgbColor rgb="FF800000"/>
      <rgbColor rgb="FF008080"/>
      <rgbColor rgb="FF0000FF"/>
      <rgbColor rgb="FF00CCFF"/>
      <rgbColor rgb="FFEEECE1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7F9A7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X42"/>
  <sheetViews>
    <sheetView view="pageBreakPreview" zoomScale="90" zoomScaleNormal="90" zoomScalePageLayoutView="90" workbookViewId="0">
      <selection activeCell="R8" sqref="R8"/>
    </sheetView>
  </sheetViews>
  <sheetFormatPr defaultColWidth="8.7109375" defaultRowHeight="15.75" x14ac:dyDescent="0.2"/>
  <cols>
    <col min="1" max="1" width="7.28515625" style="1" customWidth="1"/>
    <col min="2" max="2" width="49.85546875" style="1" customWidth="1"/>
    <col min="3" max="3" width="19" style="2" customWidth="1"/>
    <col min="4" max="4" width="22.42578125" style="2" customWidth="1"/>
    <col min="5" max="5" width="26.85546875" style="3" customWidth="1"/>
    <col min="6" max="6" width="26" style="3" customWidth="1"/>
    <col min="7" max="232" width="9.140625" style="1" customWidth="1"/>
  </cols>
  <sheetData>
    <row r="2" spans="1:232" s="4" customFormat="1" ht="48" customHeight="1" x14ac:dyDescent="0.2">
      <c r="A2" s="222" t="s">
        <v>0</v>
      </c>
      <c r="B2" s="222"/>
      <c r="C2" s="222"/>
      <c r="D2" s="222"/>
      <c r="E2" s="222"/>
      <c r="F2" s="222"/>
    </row>
    <row r="3" spans="1:232" s="4" customFormat="1" ht="16.5" x14ac:dyDescent="0.2">
      <c r="B3" s="223"/>
      <c r="C3" s="223"/>
      <c r="D3" s="223"/>
      <c r="E3" s="223"/>
      <c r="F3" s="223"/>
    </row>
    <row r="4" spans="1:232" ht="16.5" thickBot="1" x14ac:dyDescent="0.25">
      <c r="B4" s="5"/>
      <c r="C4" s="6"/>
      <c r="D4" s="6"/>
    </row>
    <row r="5" spans="1:232" ht="20.25" customHeight="1" thickBot="1" x14ac:dyDescent="0.25">
      <c r="A5" s="224" t="s">
        <v>1</v>
      </c>
      <c r="B5" s="225" t="s">
        <v>2</v>
      </c>
      <c r="C5" s="226" t="s">
        <v>3</v>
      </c>
      <c r="D5" s="225"/>
      <c r="E5" s="225"/>
      <c r="F5" s="225"/>
    </row>
    <row r="6" spans="1:232" s="8" customFormat="1" ht="51.75" customHeight="1" thickBot="1" x14ac:dyDescent="0.25">
      <c r="A6" s="224"/>
      <c r="B6" s="225"/>
      <c r="C6" s="7" t="s">
        <v>4</v>
      </c>
      <c r="D6" s="7" t="s">
        <v>5</v>
      </c>
      <c r="E6" s="226" t="s">
        <v>6</v>
      </c>
      <c r="F6" s="226"/>
    </row>
    <row r="7" spans="1:232" s="8" customFormat="1" ht="27.75" customHeight="1" thickBot="1" x14ac:dyDescent="0.25">
      <c r="A7" s="224"/>
      <c r="B7" s="225"/>
      <c r="C7" s="220" t="s">
        <v>7</v>
      </c>
      <c r="D7" s="220" t="s">
        <v>8</v>
      </c>
      <c r="E7" s="226"/>
      <c r="F7" s="226"/>
    </row>
    <row r="8" spans="1:232" s="8" customFormat="1" ht="114.75" customHeight="1" thickBot="1" x14ac:dyDescent="0.25">
      <c r="A8" s="224"/>
      <c r="B8" s="225"/>
      <c r="C8" s="218" t="s">
        <v>9</v>
      </c>
      <c r="D8" s="218" t="s">
        <v>10</v>
      </c>
      <c r="E8" s="205" t="s">
        <v>11</v>
      </c>
      <c r="F8" s="219" t="s">
        <v>12</v>
      </c>
    </row>
    <row r="9" spans="1:232" s="11" customFormat="1" thickBot="1" x14ac:dyDescent="0.25">
      <c r="A9" s="224"/>
      <c r="B9" s="9" t="s">
        <v>13</v>
      </c>
      <c r="C9" s="10" t="s">
        <v>14</v>
      </c>
      <c r="D9" s="10" t="s">
        <v>15</v>
      </c>
      <c r="E9" s="206" t="s">
        <v>16</v>
      </c>
      <c r="F9" s="212" t="s">
        <v>17</v>
      </c>
    </row>
    <row r="10" spans="1:232" s="11" customFormat="1" thickBot="1" x14ac:dyDescent="0.25">
      <c r="A10" s="12">
        <v>1</v>
      </c>
      <c r="B10" s="13">
        <v>2</v>
      </c>
      <c r="C10" s="13">
        <v>3</v>
      </c>
      <c r="D10" s="13">
        <v>4</v>
      </c>
      <c r="E10" s="207">
        <v>5</v>
      </c>
      <c r="F10" s="213">
        <v>6</v>
      </c>
    </row>
    <row r="11" spans="1:232" s="21" customFormat="1" x14ac:dyDescent="0.2">
      <c r="A11" s="15">
        <v>1</v>
      </c>
      <c r="B11" s="16" t="s">
        <v>18</v>
      </c>
      <c r="C11" s="17">
        <v>686</v>
      </c>
      <c r="D11" s="18">
        <v>757421</v>
      </c>
      <c r="E11" s="208">
        <v>2</v>
      </c>
      <c r="F11" s="214">
        <v>143.41</v>
      </c>
      <c r="G11" s="19"/>
      <c r="H11" s="1"/>
      <c r="I11" s="1"/>
      <c r="J11" s="1"/>
      <c r="K11" s="1"/>
      <c r="L11" s="1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</row>
    <row r="12" spans="1:232" s="21" customFormat="1" x14ac:dyDescent="0.2">
      <c r="A12" s="22">
        <v>2</v>
      </c>
      <c r="B12" s="23" t="s">
        <v>19</v>
      </c>
      <c r="C12" s="24">
        <v>567</v>
      </c>
      <c r="D12" s="18">
        <v>741061</v>
      </c>
      <c r="E12" s="208">
        <v>3</v>
      </c>
      <c r="F12" s="214">
        <v>132.08000000000001</v>
      </c>
      <c r="G12" s="19"/>
      <c r="H12" s="1"/>
      <c r="I12" s="1"/>
      <c r="J12" s="1"/>
      <c r="K12" s="1"/>
      <c r="L12" s="1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</row>
    <row r="13" spans="1:232" s="21" customFormat="1" x14ac:dyDescent="0.2">
      <c r="A13" s="22">
        <v>3</v>
      </c>
      <c r="B13" s="23" t="s">
        <v>20</v>
      </c>
      <c r="C13" s="24">
        <v>4976</v>
      </c>
      <c r="D13" s="18">
        <v>4666278</v>
      </c>
      <c r="E13" s="208">
        <v>6</v>
      </c>
      <c r="F13" s="215">
        <v>222.66</v>
      </c>
      <c r="G13" s="19"/>
      <c r="H13" s="1"/>
      <c r="I13" s="1"/>
      <c r="J13" s="1"/>
      <c r="K13" s="1"/>
      <c r="L13" s="1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</row>
    <row r="14" spans="1:232" s="21" customFormat="1" x14ac:dyDescent="0.2">
      <c r="A14" s="22">
        <v>4</v>
      </c>
      <c r="B14" s="23" t="s">
        <v>21</v>
      </c>
      <c r="C14" s="24">
        <v>530</v>
      </c>
      <c r="D14" s="18">
        <v>887131</v>
      </c>
      <c r="E14" s="208">
        <v>4</v>
      </c>
      <c r="F14" s="215">
        <v>475.59</v>
      </c>
      <c r="G14" s="19"/>
      <c r="H14" s="1"/>
      <c r="I14" s="1"/>
      <c r="J14" s="1"/>
      <c r="K14" s="1"/>
      <c r="L14" s="1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</row>
    <row r="15" spans="1:232" s="21" customFormat="1" x14ac:dyDescent="0.2">
      <c r="A15" s="22">
        <v>5</v>
      </c>
      <c r="B15" s="23" t="s">
        <v>22</v>
      </c>
      <c r="C15" s="24">
        <v>623</v>
      </c>
      <c r="D15" s="18">
        <v>728600</v>
      </c>
      <c r="E15" s="208">
        <v>5</v>
      </c>
      <c r="F15" s="215">
        <v>402.69</v>
      </c>
      <c r="G15" s="19"/>
      <c r="H15" s="1"/>
      <c r="I15" s="1"/>
      <c r="J15" s="1"/>
      <c r="K15" s="1"/>
      <c r="L15" s="1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</row>
    <row r="16" spans="1:232" s="21" customFormat="1" x14ac:dyDescent="0.2">
      <c r="A16" s="22">
        <v>6</v>
      </c>
      <c r="B16" s="23" t="s">
        <v>23</v>
      </c>
      <c r="C16" s="24">
        <v>853</v>
      </c>
      <c r="D16" s="18">
        <v>971693</v>
      </c>
      <c r="E16" s="208">
        <v>5</v>
      </c>
      <c r="F16" s="215">
        <v>312.04000000000002</v>
      </c>
      <c r="G16" s="19"/>
      <c r="H16" s="1"/>
      <c r="I16" s="1"/>
      <c r="J16" s="1"/>
      <c r="K16" s="1"/>
      <c r="L16" s="1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</row>
    <row r="17" spans="1:232" s="21" customFormat="1" x14ac:dyDescent="0.2">
      <c r="A17" s="22">
        <v>7</v>
      </c>
      <c r="B17" s="23" t="s">
        <v>24</v>
      </c>
      <c r="C17" s="24">
        <v>543</v>
      </c>
      <c r="D17" s="18">
        <v>668322</v>
      </c>
      <c r="E17" s="208">
        <v>3</v>
      </c>
      <c r="F17" s="215">
        <v>203.95</v>
      </c>
      <c r="G17" s="19"/>
      <c r="H17" s="1"/>
      <c r="I17" s="1"/>
      <c r="J17" s="1"/>
      <c r="K17" s="1"/>
      <c r="L17" s="1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</row>
    <row r="18" spans="1:232" s="21" customFormat="1" x14ac:dyDescent="0.2">
      <c r="A18" s="22">
        <v>8</v>
      </c>
      <c r="B18" s="23" t="s">
        <v>25</v>
      </c>
      <c r="C18" s="24">
        <v>845</v>
      </c>
      <c r="D18" s="18">
        <v>920554</v>
      </c>
      <c r="E18" s="208">
        <v>6</v>
      </c>
      <c r="F18" s="215">
        <v>269.45999999999998</v>
      </c>
      <c r="G18" s="19"/>
      <c r="H18" s="1"/>
      <c r="I18" s="1"/>
      <c r="J18" s="1"/>
      <c r="K18" s="1"/>
      <c r="L18" s="1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</row>
    <row r="19" spans="1:232" s="21" customFormat="1" x14ac:dyDescent="0.2">
      <c r="A19" s="22">
        <v>9</v>
      </c>
      <c r="B19" s="23" t="s">
        <v>26</v>
      </c>
      <c r="C19" s="24">
        <v>953</v>
      </c>
      <c r="D19" s="18">
        <v>1143729</v>
      </c>
      <c r="E19" s="208">
        <v>7</v>
      </c>
      <c r="F19" s="215">
        <v>423.66</v>
      </c>
      <c r="G19" s="19"/>
      <c r="H19" s="1"/>
      <c r="I19" s="1"/>
      <c r="J19" s="1"/>
      <c r="K19" s="1"/>
      <c r="L19" s="1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</row>
    <row r="20" spans="1:232" s="21" customFormat="1" x14ac:dyDescent="0.2">
      <c r="A20" s="22">
        <v>10</v>
      </c>
      <c r="B20" s="23" t="s">
        <v>27</v>
      </c>
      <c r="C20" s="24">
        <v>948</v>
      </c>
      <c r="D20" s="18">
        <v>1123949</v>
      </c>
      <c r="E20" s="208">
        <v>6</v>
      </c>
      <c r="F20" s="215">
        <v>394.44</v>
      </c>
      <c r="G20" s="19"/>
      <c r="H20" s="1"/>
      <c r="I20" s="1"/>
      <c r="J20" s="1"/>
      <c r="K20" s="1"/>
      <c r="L20" s="1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</row>
    <row r="21" spans="1:232" s="21" customFormat="1" ht="16.5" thickBot="1" x14ac:dyDescent="0.25">
      <c r="A21" s="22">
        <v>11</v>
      </c>
      <c r="B21" s="23" t="s">
        <v>28</v>
      </c>
      <c r="C21" s="24">
        <v>858</v>
      </c>
      <c r="D21" s="18">
        <v>1310252</v>
      </c>
      <c r="E21" s="208">
        <v>5</v>
      </c>
      <c r="F21" s="215">
        <v>373.98</v>
      </c>
      <c r="G21" s="19"/>
      <c r="H21" s="1"/>
      <c r="I21" s="1"/>
      <c r="J21" s="1"/>
      <c r="K21" s="1"/>
      <c r="L21" s="1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</row>
    <row r="22" spans="1:232" s="21" customFormat="1" ht="16.5" hidden="1" thickBot="1" x14ac:dyDescent="0.3">
      <c r="A22" s="22">
        <v>12</v>
      </c>
      <c r="B22" s="25"/>
      <c r="C22" s="26"/>
      <c r="D22" s="27"/>
      <c r="E22" s="209"/>
      <c r="F22" s="26"/>
      <c r="G22"/>
      <c r="H22" s="1"/>
      <c r="I22" s="1"/>
      <c r="J22" s="1"/>
      <c r="K22" s="1"/>
      <c r="L22" s="1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</row>
    <row r="23" spans="1:232" s="21" customFormat="1" ht="16.5" hidden="1" thickBot="1" x14ac:dyDescent="0.3">
      <c r="A23" s="22">
        <v>13</v>
      </c>
      <c r="B23" s="25"/>
      <c r="C23" s="26"/>
      <c r="D23" s="27"/>
      <c r="E23" s="209"/>
      <c r="F23" s="26"/>
      <c r="G23"/>
      <c r="H23" s="1"/>
      <c r="I23" s="1"/>
      <c r="J23" s="1"/>
      <c r="K23" s="1"/>
      <c r="L23" s="1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</row>
    <row r="24" spans="1:232" s="21" customFormat="1" ht="16.5" hidden="1" thickBot="1" x14ac:dyDescent="0.25">
      <c r="A24" s="22">
        <v>14</v>
      </c>
      <c r="B24" s="28"/>
      <c r="C24" s="24"/>
      <c r="D24" s="27"/>
      <c r="E24" s="209"/>
      <c r="F24" s="26"/>
      <c r="G24"/>
      <c r="H24" s="1"/>
      <c r="I24" s="1"/>
      <c r="J24" s="1"/>
      <c r="K24" s="1"/>
      <c r="L24" s="1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</row>
    <row r="25" spans="1:232" s="21" customFormat="1" ht="16.5" hidden="1" thickBot="1" x14ac:dyDescent="0.25">
      <c r="A25" s="22">
        <v>15</v>
      </c>
      <c r="B25" s="28"/>
      <c r="C25" s="24"/>
      <c r="D25" s="27"/>
      <c r="E25" s="209"/>
      <c r="F25" s="26"/>
      <c r="G25"/>
      <c r="H25" s="1"/>
      <c r="I25" s="1"/>
      <c r="J25" s="1"/>
      <c r="K25" s="1"/>
      <c r="L25" s="1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</row>
    <row r="26" spans="1:232" s="21" customFormat="1" ht="16.5" hidden="1" thickBot="1" x14ac:dyDescent="0.25">
      <c r="A26" s="22">
        <v>16</v>
      </c>
      <c r="B26" s="28"/>
      <c r="C26" s="24"/>
      <c r="D26" s="27"/>
      <c r="E26" s="209"/>
      <c r="F26" s="26"/>
      <c r="G26"/>
      <c r="H26" s="1"/>
      <c r="I26" s="1"/>
      <c r="J26" s="1"/>
      <c r="K26" s="1"/>
      <c r="L26" s="1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</row>
    <row r="27" spans="1:232" s="21" customFormat="1" ht="16.5" hidden="1" thickBot="1" x14ac:dyDescent="0.25">
      <c r="A27" s="22">
        <v>17</v>
      </c>
      <c r="B27" s="28"/>
      <c r="C27" s="24"/>
      <c r="D27" s="27"/>
      <c r="E27" s="209"/>
      <c r="F27" s="26"/>
      <c r="G27"/>
      <c r="H27" s="1"/>
      <c r="I27" s="1"/>
      <c r="J27" s="1"/>
      <c r="K27" s="1"/>
      <c r="L27" s="1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</row>
    <row r="28" spans="1:232" s="21" customFormat="1" ht="16.5" hidden="1" thickBot="1" x14ac:dyDescent="0.25">
      <c r="A28" s="22">
        <v>18</v>
      </c>
      <c r="B28" s="28"/>
      <c r="C28" s="24"/>
      <c r="D28" s="27"/>
      <c r="E28" s="209"/>
      <c r="F28" s="26"/>
      <c r="G28"/>
      <c r="H28" s="1"/>
      <c r="I28" s="1"/>
      <c r="J28" s="1"/>
      <c r="K28" s="1"/>
      <c r="L28" s="1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</row>
    <row r="29" spans="1:232" s="21" customFormat="1" ht="16.5" hidden="1" thickBot="1" x14ac:dyDescent="0.25">
      <c r="A29" s="22">
        <v>19</v>
      </c>
      <c r="B29" s="28"/>
      <c r="C29" s="24"/>
      <c r="D29" s="27"/>
      <c r="E29" s="209"/>
      <c r="F29" s="26"/>
      <c r="G29"/>
      <c r="H29" s="1"/>
      <c r="I29" s="1"/>
      <c r="J29" s="1"/>
      <c r="K29" s="1"/>
      <c r="L29" s="1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</row>
    <row r="30" spans="1:232" s="21" customFormat="1" ht="16.5" hidden="1" thickBot="1" x14ac:dyDescent="0.25">
      <c r="A30" s="22">
        <v>20</v>
      </c>
      <c r="B30" s="28"/>
      <c r="C30" s="24"/>
      <c r="D30" s="27"/>
      <c r="E30" s="209"/>
      <c r="F30" s="26"/>
      <c r="G30"/>
      <c r="H30" s="1"/>
      <c r="I30" s="1"/>
      <c r="J30" s="1"/>
      <c r="K30" s="1"/>
      <c r="L30" s="1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</row>
    <row r="31" spans="1:232" s="21" customFormat="1" ht="16.5" hidden="1" thickBot="1" x14ac:dyDescent="0.25">
      <c r="A31" s="22">
        <v>21</v>
      </c>
      <c r="B31" s="28"/>
      <c r="C31" s="24"/>
      <c r="D31" s="27"/>
      <c r="E31" s="209"/>
      <c r="F31" s="26"/>
      <c r="G31"/>
      <c r="H31" s="1"/>
      <c r="I31" s="1"/>
      <c r="J31" s="1"/>
      <c r="K31" s="1"/>
      <c r="L31" s="1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</row>
    <row r="32" spans="1:232" s="21" customFormat="1" ht="16.5" hidden="1" thickBot="1" x14ac:dyDescent="0.25">
      <c r="A32" s="22">
        <v>22</v>
      </c>
      <c r="B32" s="28"/>
      <c r="C32" s="24"/>
      <c r="D32" s="27"/>
      <c r="E32" s="209"/>
      <c r="F32" s="26"/>
      <c r="G32"/>
      <c r="H32" s="1"/>
      <c r="I32" s="1"/>
      <c r="J32" s="1"/>
      <c r="K32" s="1"/>
      <c r="L32" s="1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</row>
    <row r="33" spans="1:232" s="21" customFormat="1" ht="16.5" hidden="1" thickBot="1" x14ac:dyDescent="0.25">
      <c r="A33" s="22">
        <v>23</v>
      </c>
      <c r="B33" s="28"/>
      <c r="C33" s="24"/>
      <c r="D33" s="27"/>
      <c r="E33" s="209"/>
      <c r="F33" s="26"/>
      <c r="G33"/>
      <c r="H33" s="1"/>
      <c r="I33" s="1"/>
      <c r="J33" s="1"/>
      <c r="K33" s="1"/>
      <c r="L33" s="1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</row>
    <row r="34" spans="1:232" s="21" customFormat="1" ht="23.25" hidden="1" customHeight="1" x14ac:dyDescent="0.2">
      <c r="A34" s="29">
        <v>24</v>
      </c>
      <c r="B34" s="30"/>
      <c r="C34" s="31"/>
      <c r="D34" s="32"/>
      <c r="E34" s="210"/>
      <c r="F34" s="216"/>
      <c r="G34"/>
      <c r="H34" s="1"/>
      <c r="I34" s="1"/>
      <c r="J34" s="1"/>
      <c r="K34" s="1"/>
      <c r="L34" s="1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</row>
    <row r="35" spans="1:232" s="21" customFormat="1" ht="16.5" thickBot="1" x14ac:dyDescent="0.25">
      <c r="A35" s="33"/>
      <c r="B35" s="34" t="s">
        <v>29</v>
      </c>
      <c r="C35" s="35">
        <f>SUM(C11:C34)</f>
        <v>12382</v>
      </c>
      <c r="D35" s="36">
        <f>SUM(D11:D34)</f>
        <v>13918990</v>
      </c>
      <c r="E35" s="211">
        <f>SUM(E11:E34)</f>
        <v>52</v>
      </c>
      <c r="F35" s="217">
        <f>SUM(F11:F34)</f>
        <v>3353.96</v>
      </c>
      <c r="G35" s="1"/>
      <c r="H35" s="1"/>
      <c r="I35" s="1"/>
      <c r="J35" s="1"/>
      <c r="K35" s="1"/>
      <c r="L35" s="1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</row>
    <row r="37" spans="1:232" x14ac:dyDescent="0.2">
      <c r="A37" s="37"/>
      <c r="B37" s="20"/>
    </row>
    <row r="38" spans="1:232" x14ac:dyDescent="0.2">
      <c r="B38" s="20"/>
    </row>
    <row r="39" spans="1:232" x14ac:dyDescent="0.2">
      <c r="B39" s="20"/>
    </row>
    <row r="40" spans="1:232" x14ac:dyDescent="0.2">
      <c r="B40" s="20"/>
    </row>
    <row r="41" spans="1:232" x14ac:dyDescent="0.2">
      <c r="B41" s="20"/>
    </row>
    <row r="42" spans="1:232" x14ac:dyDescent="0.2">
      <c r="B42" s="20"/>
    </row>
  </sheetData>
  <mergeCells count="6">
    <mergeCell ref="A2:F2"/>
    <mergeCell ref="B3:F3"/>
    <mergeCell ref="A5:A9"/>
    <mergeCell ref="B5:B8"/>
    <mergeCell ref="C5:F5"/>
    <mergeCell ref="E6:F7"/>
  </mergeCells>
  <printOptions horizontalCentered="1"/>
  <pageMargins left="0.39374999999999999" right="0" top="0.39374999999999999" bottom="0.39374999999999999" header="0.511811023622047" footer="0.511811023622047"/>
  <pageSetup paperSize="9" scale="75" pageOrder="overThenDown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topLeftCell="A4" zoomScaleNormal="110" workbookViewId="0">
      <selection activeCell="G31" sqref="G31"/>
    </sheetView>
  </sheetViews>
  <sheetFormatPr defaultColWidth="9.140625" defaultRowHeight="15.75" x14ac:dyDescent="0.2"/>
  <cols>
    <col min="1" max="1" width="6.140625" style="38" customWidth="1"/>
    <col min="2" max="2" width="37.5703125" style="38" customWidth="1"/>
    <col min="3" max="3" width="18.5703125" style="38" customWidth="1"/>
    <col min="4" max="4" width="19.140625" style="38" customWidth="1"/>
    <col min="5" max="5" width="21.140625" style="38" customWidth="1"/>
    <col min="6" max="6" width="16.85546875" style="38" hidden="1" customWidth="1"/>
    <col min="7" max="7" width="23.140625" style="38" customWidth="1"/>
    <col min="8" max="16384" width="9.140625" style="38"/>
  </cols>
  <sheetData>
    <row r="1" spans="1:7" x14ac:dyDescent="0.2">
      <c r="C1" s="39"/>
      <c r="D1" s="39"/>
      <c r="E1" s="39"/>
      <c r="F1" s="39"/>
    </row>
    <row r="2" spans="1:7" s="40" customFormat="1" ht="18.75" x14ac:dyDescent="0.2">
      <c r="A2" s="227" t="s">
        <v>30</v>
      </c>
      <c r="B2" s="227"/>
      <c r="C2" s="227"/>
      <c r="D2" s="227"/>
      <c r="E2" s="227"/>
      <c r="F2" s="227"/>
      <c r="G2" s="227"/>
    </row>
    <row r="3" spans="1:7" x14ac:dyDescent="0.2">
      <c r="B3" s="41"/>
    </row>
    <row r="4" spans="1:7" s="8" customFormat="1" ht="116.25" customHeight="1" x14ac:dyDescent="0.2">
      <c r="A4" s="228" t="s">
        <v>1</v>
      </c>
      <c r="B4" s="228" t="s">
        <v>31</v>
      </c>
      <c r="C4" s="42" t="s">
        <v>32</v>
      </c>
      <c r="D4" s="42" t="s">
        <v>33</v>
      </c>
      <c r="E4" s="42" t="s">
        <v>34</v>
      </c>
      <c r="F4" s="43" t="s">
        <v>35</v>
      </c>
      <c r="G4" s="229" t="s">
        <v>36</v>
      </c>
    </row>
    <row r="5" spans="1:7" s="46" customFormat="1" ht="207" customHeight="1" x14ac:dyDescent="0.2">
      <c r="A5" s="228"/>
      <c r="B5" s="228"/>
      <c r="C5" s="44" t="s">
        <v>37</v>
      </c>
      <c r="D5" s="44" t="s">
        <v>38</v>
      </c>
      <c r="E5" s="44" t="s">
        <v>202</v>
      </c>
      <c r="F5" s="45" t="s">
        <v>39</v>
      </c>
      <c r="G5" s="229"/>
    </row>
    <row r="6" spans="1:7" s="51" customFormat="1" ht="15" x14ac:dyDescent="0.2">
      <c r="A6" s="47">
        <v>1</v>
      </c>
      <c r="B6" s="48">
        <f>A6+1</f>
        <v>2</v>
      </c>
      <c r="C6" s="48">
        <f>B6+1</f>
        <v>3</v>
      </c>
      <c r="D6" s="48">
        <f>C6+1</f>
        <v>4</v>
      </c>
      <c r="E6" s="48">
        <f>D6+1</f>
        <v>5</v>
      </c>
      <c r="F6" s="49">
        <f>E6+1</f>
        <v>6</v>
      </c>
      <c r="G6" s="50">
        <v>6</v>
      </c>
    </row>
    <row r="7" spans="1:7" x14ac:dyDescent="0.2">
      <c r="A7" s="52">
        <v>1</v>
      </c>
      <c r="B7" s="53" t="s">
        <v>18</v>
      </c>
      <c r="C7" s="54">
        <f>1+('Исходные данные'!E11/'Исходные данные'!E19)</f>
        <v>1.2857142857142856</v>
      </c>
      <c r="D7" s="54">
        <f>1+('Исходные данные'!F11/'Исходные данные'!F14)</f>
        <v>1.3015412435080638</v>
      </c>
      <c r="E7" s="221" t="str">
        <f>IF(AND(1&lt;='Исходные данные'!C11,'Исходные данные'!C11&lt;=550),12.9,IF(AND(551&lt;='Исходные данные'!C11,'Исходные данные'!C11&lt;=700),"12,6",IF(AND(701&lt;='Исходные данные'!C11,'Исходные данные'!C11&lt;=850),9.2,IF(AND(851&lt;='Исходные данные'!C11,'Исходные данные'!C11&lt;=950),7.5,IF(AND(951&lt;='Исходные данные'!C11,'Исходные данные'!C11&lt;=1100),4.6,IF(1101&lt;='Исходные данные'!C11,2.8,"0"))))))</f>
        <v>12,6</v>
      </c>
      <c r="F7" s="55"/>
      <c r="G7" s="56">
        <f>((C7+D7)/2*E7)</f>
        <v>16.299709834100799</v>
      </c>
    </row>
    <row r="8" spans="1:7" x14ac:dyDescent="0.2">
      <c r="A8" s="57">
        <v>2</v>
      </c>
      <c r="B8" s="58" t="s">
        <v>19</v>
      </c>
      <c r="C8" s="59">
        <f>1+('Исходные данные'!E12/'Исходные данные'!E19)</f>
        <v>1.4285714285714286</v>
      </c>
      <c r="D8" s="59">
        <f>1+('Исходные данные'!F12/'Исходные данные'!F14)</f>
        <v>1.2777182026535461</v>
      </c>
      <c r="E8" s="221" t="str">
        <f>IF(AND(1&lt;='Исходные данные'!C12,'Исходные данные'!C12&lt;=550),12.9,IF(AND(551&lt;='Исходные данные'!C12,'Исходные данные'!C12&lt;=700),"12,6",IF(AND(701&lt;='Исходные данные'!C12,'Исходные данные'!C12&lt;=850),9.2,IF(AND(851&lt;='Исходные данные'!C12,'Исходные данные'!C12&lt;=950),7.5,IF(AND(951&lt;='Исходные данные'!C12,'Исходные данные'!C12&lt;=1100),4.6,IF(1101&lt;='Исходные данные'!C12,2.8,"0"))))))</f>
        <v>12,6</v>
      </c>
      <c r="F8" s="60"/>
      <c r="G8" s="61">
        <f t="shared" ref="G8:G17" si="0">((C8+D8)/2)*E8</f>
        <v>17.04962467671734</v>
      </c>
    </row>
    <row r="9" spans="1:7" x14ac:dyDescent="0.2">
      <c r="A9" s="57">
        <v>3</v>
      </c>
      <c r="B9" s="58" t="s">
        <v>20</v>
      </c>
      <c r="C9" s="59">
        <f>1+('Исходные данные'!E13/'Исходные данные'!E19)</f>
        <v>1.8571428571428572</v>
      </c>
      <c r="D9" s="59">
        <f>1+('Исходные данные'!F13/'Исходные данные'!F14)</f>
        <v>1.4681763704030784</v>
      </c>
      <c r="E9" s="221">
        <f>IF(AND(1&lt;='Исходные данные'!C13,'Исходные данные'!C13&lt;=550),12.9,IF(AND(551&lt;='Исходные данные'!C13,'Исходные данные'!C13&lt;=700),"12,6",IF(AND(701&lt;='Исходные данные'!C13,'Исходные данные'!C13&lt;=850),9.2,IF(AND(851&lt;='Исходные данные'!C13,'Исходные данные'!C13&lt;=950),7.5,IF(AND(951&lt;='Исходные данные'!C13,'Исходные данные'!C13&lt;=1100),4.6,IF(1101&lt;='Исходные данные'!C13,2.8,"0"))))))</f>
        <v>2.8</v>
      </c>
      <c r="F9" s="60"/>
      <c r="G9" s="61">
        <f t="shared" si="0"/>
        <v>4.6554469185643095</v>
      </c>
    </row>
    <row r="10" spans="1:7" x14ac:dyDescent="0.2">
      <c r="A10" s="57">
        <v>4</v>
      </c>
      <c r="B10" s="58" t="s">
        <v>21</v>
      </c>
      <c r="C10" s="59">
        <f>1+('Исходные данные'!E14/'Исходные данные'!E19)</f>
        <v>1.5714285714285714</v>
      </c>
      <c r="D10" s="59">
        <f>1+('Исходные данные'!F14/'Исходные данные'!F14)</f>
        <v>2</v>
      </c>
      <c r="E10" s="221">
        <f>IF(AND(1&lt;='Исходные данные'!C14,'Исходные данные'!C14&lt;=550),12.9,IF(AND(551&lt;='Исходные данные'!C14,'Исходные данные'!C14&lt;=700),"12,6",IF(AND(701&lt;='Исходные данные'!C14,'Исходные данные'!C14&lt;=850),9.2,IF(AND(851&lt;='Исходные данные'!C14,'Исходные данные'!C14&lt;=950),7.5,IF(AND(951&lt;='Исходные данные'!C14,'Исходные данные'!C14&lt;=1100),4.6,IF(1101&lt;='Исходные данные'!C14,2.8,"0"))))))</f>
        <v>12.9</v>
      </c>
      <c r="F10" s="60"/>
      <c r="G10" s="61">
        <f t="shared" si="0"/>
        <v>23.035714285714285</v>
      </c>
    </row>
    <row r="11" spans="1:7" x14ac:dyDescent="0.2">
      <c r="A11" s="57">
        <v>5</v>
      </c>
      <c r="B11" s="58" t="s">
        <v>22</v>
      </c>
      <c r="C11" s="59">
        <f>1+('Исходные данные'!E15/'Исходные данные'!E19)</f>
        <v>1.7142857142857144</v>
      </c>
      <c r="D11" s="59">
        <f>1+('Исходные данные'!F15/'Исходные данные'!F14)</f>
        <v>1.8467167097710213</v>
      </c>
      <c r="E11" s="221" t="str">
        <f>IF(AND(1&lt;='Исходные данные'!C15,'Исходные данные'!C15&lt;=550),12.9,IF(AND(551&lt;='Исходные данные'!C15,'Исходные данные'!C15&lt;=700),"12,6",IF(AND(701&lt;='Исходные данные'!C15,'Исходные данные'!C15&lt;=850),9.2,IF(AND(851&lt;='Исходные данные'!C15,'Исходные данные'!C15&lt;=950),7.5,IF(AND(951&lt;='Исходные данные'!C15,'Исходные данные'!C15&lt;=1100),4.6,IF(1101&lt;='Исходные данные'!C15,2.8,"0"))))))</f>
        <v>12,6</v>
      </c>
      <c r="F11" s="60"/>
      <c r="G11" s="61">
        <f t="shared" si="0"/>
        <v>22.434315271557434</v>
      </c>
    </row>
    <row r="12" spans="1:7" x14ac:dyDescent="0.2">
      <c r="A12" s="57">
        <v>6</v>
      </c>
      <c r="B12" s="23" t="s">
        <v>23</v>
      </c>
      <c r="C12" s="59">
        <f>1+('Исходные данные'!E16/'Исходные данные'!E19)</f>
        <v>1.7142857142857144</v>
      </c>
      <c r="D12" s="59">
        <f>1+('Исходные данные'!F16/'Исходные данные'!F14)</f>
        <v>1.6561113564204462</v>
      </c>
      <c r="E12" s="221">
        <f>IF(AND(1&lt;='Исходные данные'!C16,'Исходные данные'!C16&lt;=550),12.9,IF(AND(551&lt;='Исходные данные'!C16,'Исходные данные'!C16&lt;=700),"12,6",IF(AND(701&lt;='Исходные данные'!C16,'Исходные данные'!C16&lt;=850),9.2,IF(AND(851&lt;='Исходные данные'!C16,'Исходные данные'!C16&lt;=950),7.5,IF(AND(951&lt;='Исходные данные'!C16,'Исходные данные'!C16&lt;=1100),4.6,IF(1101&lt;='Исходные данные'!C16,2.8,"0"))))))</f>
        <v>7.5</v>
      </c>
      <c r="F12" s="60"/>
      <c r="G12" s="61">
        <f t="shared" si="0"/>
        <v>12.638989015148102</v>
      </c>
    </row>
    <row r="13" spans="1:7" x14ac:dyDescent="0.2">
      <c r="A13" s="57">
        <v>7</v>
      </c>
      <c r="B13" s="23" t="s">
        <v>24</v>
      </c>
      <c r="C13" s="59">
        <f>1+('Исходные данные'!E17/'Исходные данные'!E19)</f>
        <v>1.4285714285714286</v>
      </c>
      <c r="D13" s="59">
        <f>1+('Исходные данные'!F17/'Исходные данные'!F14)</f>
        <v>1.4288357618957506</v>
      </c>
      <c r="E13" s="221">
        <f>IF(AND(1&lt;='Исходные данные'!C17,'Исходные данные'!C17&lt;=550),12.9,IF(AND(551&lt;='Исходные данные'!C17,'Исходные данные'!C17&lt;=700),"12,6",IF(AND(701&lt;='Исходные данные'!C17,'Исходные данные'!C17&lt;=850),9.2,IF(AND(851&lt;='Исходные данные'!C17,'Исходные данные'!C17&lt;=950),7.5,IF(AND(951&lt;='Исходные данные'!C17,'Исходные данные'!C17&lt;=1100),4.6,IF(1101&lt;='Исходные данные'!C17,2.8,"0"))))))</f>
        <v>12.9</v>
      </c>
      <c r="F13" s="60"/>
      <c r="G13" s="61">
        <f t="shared" si="0"/>
        <v>18.430276378513305</v>
      </c>
    </row>
    <row r="14" spans="1:7" x14ac:dyDescent="0.2">
      <c r="A14" s="57">
        <v>8</v>
      </c>
      <c r="B14" s="23" t="s">
        <v>25</v>
      </c>
      <c r="C14" s="59">
        <f>1+('Исходные данные'!E18/'Исходные данные'!E19)</f>
        <v>1.8571428571428572</v>
      </c>
      <c r="D14" s="59">
        <f>1+('Исходные данные'!F18/'Исходные данные'!F14)</f>
        <v>1.5665804579574845</v>
      </c>
      <c r="E14" s="221">
        <f>IF(AND(1&lt;='Исходные данные'!C18,'Исходные данные'!C18&lt;=550),12.9,IF(AND(551&lt;='Исходные данные'!C18,'Исходные данные'!C18&lt;=700),"12,6",IF(AND(701&lt;='Исходные данные'!C18,'Исходные данные'!C18&lt;=850),9.2,IF(AND(851&lt;='Исходные данные'!C18,'Исходные данные'!C18&lt;=950),7.5,IF(AND(951&lt;='Исходные данные'!C18,'Исходные данные'!C18&lt;=1100),4.6,IF(1101&lt;='Исходные данные'!C18,2.8,"0"))))))</f>
        <v>9.1999999999999993</v>
      </c>
      <c r="F14" s="60"/>
      <c r="G14" s="61">
        <f t="shared" si="0"/>
        <v>15.749127249461571</v>
      </c>
    </row>
    <row r="15" spans="1:7" x14ac:dyDescent="0.2">
      <c r="A15" s="57">
        <v>9</v>
      </c>
      <c r="B15" s="58" t="s">
        <v>26</v>
      </c>
      <c r="C15" s="59">
        <f>1+('Исходные данные'!E19/'Исходные данные'!E19)</f>
        <v>2</v>
      </c>
      <c r="D15" s="59">
        <f>1+('Исходные данные'!F19/'Исходные данные'!F14)</f>
        <v>1.8908093105405919</v>
      </c>
      <c r="E15" s="221">
        <f>IF(AND(1&lt;='Исходные данные'!C19,'Исходные данные'!C19&lt;=550),12.9,IF(AND(551&lt;='Исходные данные'!C19,'Исходные данные'!C19&lt;=700),"12,6",IF(AND(701&lt;='Исходные данные'!C19,'Исходные данные'!C19&lt;=850),9.2,IF(AND(851&lt;='Исходные данные'!C19,'Исходные данные'!C19&lt;=950),7.5,IF(AND(951&lt;='Исходные данные'!C19,'Исходные данные'!C19&lt;=1100),4.6,IF(1101&lt;='Исходные данные'!C19,2.8,"0"))))))</f>
        <v>4.5999999999999996</v>
      </c>
      <c r="F15" s="60"/>
      <c r="G15" s="61">
        <f t="shared" si="0"/>
        <v>8.9488614142433605</v>
      </c>
    </row>
    <row r="16" spans="1:7" x14ac:dyDescent="0.2">
      <c r="A16" s="57">
        <v>10</v>
      </c>
      <c r="B16" s="58" t="s">
        <v>27</v>
      </c>
      <c r="C16" s="59">
        <f>1+('Исходные данные'!E20/'Исходные данные'!E19)</f>
        <v>1.8571428571428572</v>
      </c>
      <c r="D16" s="59">
        <f>1+('Исходные данные'!F20/'Исходные данные'!F14)</f>
        <v>1.8293698353623919</v>
      </c>
      <c r="E16" s="221">
        <f>IF(AND(1&lt;='Исходные данные'!C20,'Исходные данные'!C20&lt;=550),12.9,IF(AND(551&lt;='Исходные данные'!C20,'Исходные данные'!C20&lt;=700),"12,6",IF(AND(701&lt;='Исходные данные'!C20,'Исходные данные'!C20&lt;=850),9.2,IF(AND(851&lt;='Исходные данные'!C20,'Исходные данные'!C20&lt;=950),7.5,IF(AND(951&lt;='Исходные данные'!C20,'Исходные данные'!C20&lt;=1100),4.6,IF(1101&lt;='Исходные данные'!C20,2.8,"0"))))))</f>
        <v>7.5</v>
      </c>
      <c r="F16" s="60"/>
      <c r="G16" s="61">
        <f t="shared" si="0"/>
        <v>13.824422596894685</v>
      </c>
    </row>
    <row r="17" spans="1:7" x14ac:dyDescent="0.2">
      <c r="A17" s="57">
        <v>11</v>
      </c>
      <c r="B17" s="58" t="s">
        <v>28</v>
      </c>
      <c r="C17" s="59">
        <f>1+('Исходные данные'!E21/'Исходные данные'!E19)</f>
        <v>1.7142857142857144</v>
      </c>
      <c r="D17" s="59">
        <f>1+('Исходные данные'!F21/'Исходные данные'!F14)</f>
        <v>1.7863495868289916</v>
      </c>
      <c r="E17" s="221">
        <f>IF(AND(1&lt;='Исходные данные'!C21,'Исходные данные'!C21&lt;=550),12.9,IF(AND(551&lt;='Исходные данные'!C21,'Исходные данные'!C21&lt;=700),"12,6",IF(AND(701&lt;='Исходные данные'!C21,'Исходные данные'!C21&lt;=850),9.2,IF(AND(851&lt;='Исходные данные'!C21,'Исходные данные'!C21&lt;=950),7.5,IF(AND(951&lt;='Исходные данные'!C21,'Исходные данные'!C21&lt;=1100),4.6,IF(1101&lt;='Исходные данные'!C21,2.8,"0"))))))</f>
        <v>7.5</v>
      </c>
      <c r="F17" s="60"/>
      <c r="G17" s="61">
        <f t="shared" si="0"/>
        <v>13.127382379180148</v>
      </c>
    </row>
    <row r="18" spans="1:7" hidden="1" x14ac:dyDescent="0.25">
      <c r="A18" s="57">
        <v>12</v>
      </c>
      <c r="B18" s="62"/>
      <c r="C18" s="59"/>
      <c r="D18" s="59"/>
      <c r="E18" s="59"/>
      <c r="F18" s="60"/>
      <c r="G18" s="61"/>
    </row>
    <row r="19" spans="1:7" hidden="1" x14ac:dyDescent="0.25">
      <c r="A19" s="57">
        <v>13</v>
      </c>
      <c r="B19" s="63"/>
      <c r="C19" s="59"/>
      <c r="D19" s="59"/>
      <c r="E19" s="64"/>
      <c r="F19" s="60"/>
      <c r="G19" s="61"/>
    </row>
    <row r="20" spans="1:7" hidden="1" x14ac:dyDescent="0.2">
      <c r="A20" s="57">
        <v>14</v>
      </c>
      <c r="B20" s="63"/>
      <c r="C20" s="65"/>
      <c r="D20" s="65"/>
      <c r="E20" s="65"/>
      <c r="F20" s="60"/>
      <c r="G20" s="61"/>
    </row>
    <row r="21" spans="1:7" hidden="1" x14ac:dyDescent="0.2">
      <c r="A21" s="57">
        <v>15</v>
      </c>
      <c r="B21" s="63"/>
      <c r="C21" s="65"/>
      <c r="D21" s="65"/>
      <c r="E21" s="65"/>
      <c r="F21" s="60"/>
      <c r="G21" s="61"/>
    </row>
    <row r="22" spans="1:7" hidden="1" x14ac:dyDescent="0.2">
      <c r="A22" s="57">
        <v>16</v>
      </c>
      <c r="B22" s="63"/>
      <c r="C22" s="65"/>
      <c r="D22" s="65"/>
      <c r="E22" s="65"/>
      <c r="F22" s="60"/>
      <c r="G22" s="61"/>
    </row>
    <row r="23" spans="1:7" hidden="1" x14ac:dyDescent="0.2">
      <c r="A23" s="57">
        <v>17</v>
      </c>
      <c r="B23" s="63"/>
      <c r="C23" s="65"/>
      <c r="D23" s="65"/>
      <c r="E23" s="65"/>
      <c r="F23" s="60"/>
      <c r="G23" s="61"/>
    </row>
    <row r="24" spans="1:7" hidden="1" x14ac:dyDescent="0.2">
      <c r="A24" s="57">
        <v>18</v>
      </c>
      <c r="B24" s="63"/>
      <c r="C24" s="65"/>
      <c r="D24" s="65"/>
      <c r="E24" s="65"/>
      <c r="F24" s="60"/>
      <c r="G24" s="61"/>
    </row>
    <row r="25" spans="1:7" hidden="1" x14ac:dyDescent="0.2">
      <c r="A25" s="57">
        <v>19</v>
      </c>
      <c r="B25" s="63"/>
      <c r="C25" s="65"/>
      <c r="D25" s="65"/>
      <c r="E25" s="65"/>
      <c r="F25" s="60"/>
      <c r="G25" s="61"/>
    </row>
    <row r="26" spans="1:7" hidden="1" x14ac:dyDescent="0.2">
      <c r="A26" s="57">
        <v>20</v>
      </c>
      <c r="B26" s="63"/>
      <c r="C26" s="65"/>
      <c r="D26" s="65"/>
      <c r="E26" s="65"/>
      <c r="F26" s="60"/>
      <c r="G26" s="61"/>
    </row>
    <row r="27" spans="1:7" hidden="1" x14ac:dyDescent="0.2">
      <c r="A27" s="57">
        <v>21</v>
      </c>
      <c r="B27" s="63"/>
      <c r="C27" s="65"/>
      <c r="D27" s="65"/>
      <c r="E27" s="65"/>
      <c r="F27" s="60"/>
      <c r="G27" s="61"/>
    </row>
    <row r="28" spans="1:7" hidden="1" x14ac:dyDescent="0.2">
      <c r="A28" s="57">
        <v>22</v>
      </c>
      <c r="B28" s="63"/>
      <c r="C28" s="65"/>
      <c r="D28" s="65"/>
      <c r="E28" s="65"/>
      <c r="F28" s="60"/>
      <c r="G28" s="61"/>
    </row>
    <row r="29" spans="1:7" hidden="1" x14ac:dyDescent="0.2">
      <c r="A29" s="57">
        <v>23</v>
      </c>
      <c r="B29" s="63"/>
      <c r="C29" s="65"/>
      <c r="D29" s="65"/>
      <c r="E29" s="65"/>
      <c r="F29" s="60"/>
      <c r="G29" s="61"/>
    </row>
    <row r="30" spans="1:7" hidden="1" x14ac:dyDescent="0.2">
      <c r="A30" s="66">
        <v>24</v>
      </c>
      <c r="B30" s="67"/>
      <c r="C30" s="68"/>
      <c r="D30" s="68"/>
      <c r="E30" s="68"/>
      <c r="F30" s="69"/>
      <c r="G30" s="70"/>
    </row>
    <row r="32" spans="1:7" ht="123.75" customHeight="1" x14ac:dyDescent="0.2">
      <c r="A32" s="230" t="s">
        <v>40</v>
      </c>
      <c r="B32" s="230"/>
      <c r="C32" s="230"/>
      <c r="D32" s="230"/>
      <c r="E32" s="230"/>
      <c r="F32" s="230"/>
      <c r="G32" s="230"/>
    </row>
  </sheetData>
  <mergeCells count="5">
    <mergeCell ref="A2:G2"/>
    <mergeCell ref="A4:A5"/>
    <mergeCell ref="B4:B5"/>
    <mergeCell ref="G4:G5"/>
    <mergeCell ref="A32:G32"/>
  </mergeCells>
  <pageMargins left="0.82677165354330717" right="0.27559055118110237" top="0.51181102362204722" bottom="0.74803149606299213" header="0.51181102362204722" footer="0.51181102362204722"/>
  <pageSetup paperSize="9" scale="7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38"/>
  <sheetViews>
    <sheetView tabSelected="1" view="pageBreakPreview" zoomScale="60" zoomScaleNormal="60" workbookViewId="0">
      <selection activeCell="C5" sqref="C5:D5"/>
    </sheetView>
  </sheetViews>
  <sheetFormatPr defaultColWidth="15.28515625" defaultRowHeight="15.75" x14ac:dyDescent="0.2"/>
  <cols>
    <col min="1" max="1" width="45.42578125" style="1" customWidth="1"/>
    <col min="2" max="2" width="19.85546875" style="1" customWidth="1"/>
    <col min="3" max="3" width="12.140625" style="1" customWidth="1"/>
    <col min="4" max="4" width="17" style="1" customWidth="1"/>
    <col min="5" max="5" width="12.85546875" style="1" customWidth="1"/>
    <col min="6" max="6" width="17.42578125" style="1" customWidth="1"/>
    <col min="7" max="7" width="12.5703125" style="1" customWidth="1"/>
    <col min="8" max="8" width="18.42578125" style="1" customWidth="1"/>
    <col min="9" max="10" width="15.42578125" style="1" customWidth="1"/>
    <col min="11" max="11" width="18" style="1" customWidth="1"/>
    <col min="12" max="12" width="19.28515625" style="1" customWidth="1"/>
    <col min="13" max="13" width="14.42578125" style="1" customWidth="1"/>
    <col min="14" max="14" width="13.28515625" style="1" customWidth="1"/>
    <col min="15" max="15" width="16" style="1" customWidth="1"/>
    <col min="16" max="16" width="16.85546875" style="1" customWidth="1"/>
    <col min="17" max="17" width="16.7109375" style="1" customWidth="1"/>
    <col min="18" max="18" width="16.85546875" style="1" customWidth="1"/>
    <col min="19" max="19" width="13.7109375" style="1" customWidth="1"/>
    <col min="20" max="20" width="11.5703125" style="1" customWidth="1"/>
    <col min="21" max="21" width="15" style="1" customWidth="1"/>
    <col min="22" max="22" width="16.5703125" style="1" customWidth="1"/>
    <col min="23" max="23" width="16.28515625" style="1" customWidth="1"/>
    <col min="24" max="24" width="15.7109375" style="1" customWidth="1"/>
    <col min="25" max="25" width="14.85546875" style="1" customWidth="1"/>
    <col min="26" max="26" width="10.5703125" style="1" customWidth="1"/>
    <col min="27" max="27" width="14.85546875" style="1" customWidth="1"/>
    <col min="28" max="28" width="15.85546875" style="1" customWidth="1"/>
    <col min="29" max="29" width="16.28515625" style="1" customWidth="1"/>
    <col min="30" max="30" width="15.85546875" style="1" customWidth="1"/>
    <col min="31" max="31" width="13.140625" style="1" customWidth="1"/>
    <col min="32" max="32" width="11.28515625" style="1" customWidth="1"/>
    <col min="33" max="33" width="14.85546875" style="1" customWidth="1"/>
    <col min="34" max="34" width="18.85546875" style="1" customWidth="1"/>
    <col min="35" max="35" width="16.28515625" style="1" customWidth="1"/>
    <col min="36" max="36" width="14.5703125" style="1" customWidth="1"/>
    <col min="37" max="37" width="13.42578125" style="1" customWidth="1"/>
    <col min="38" max="39" width="11.140625" style="1" customWidth="1"/>
    <col min="40" max="40" width="16" style="1" customWidth="1"/>
    <col min="41" max="41" width="15.7109375" style="1" customWidth="1"/>
    <col min="42" max="42" width="13.5703125" style="1" customWidth="1"/>
    <col min="43" max="43" width="12.5703125" style="1" customWidth="1"/>
    <col min="44" max="44" width="10.28515625" style="1" customWidth="1"/>
    <col min="45" max="45" width="13.7109375" style="1" customWidth="1"/>
    <col min="46" max="46" width="16.5703125" style="1" customWidth="1"/>
    <col min="47" max="47" width="16.42578125" style="1" customWidth="1"/>
    <col min="48" max="48" width="15" style="1" customWidth="1"/>
    <col min="49" max="50" width="12.5703125" style="1" customWidth="1"/>
    <col min="51" max="51" width="14.28515625" style="1" customWidth="1"/>
    <col min="52" max="52" width="16.85546875" style="1" customWidth="1"/>
    <col min="53" max="53" width="13.140625" style="1" customWidth="1"/>
    <col min="54" max="54" width="14.28515625" style="1" customWidth="1"/>
    <col min="55" max="55" width="11.5703125" style="1" customWidth="1"/>
    <col min="56" max="56" width="10.42578125" style="1" customWidth="1"/>
    <col min="57" max="57" width="11.85546875" style="1" customWidth="1"/>
    <col min="58" max="58" width="16.42578125" style="1" customWidth="1"/>
    <col min="59" max="59" width="15" style="1" customWidth="1"/>
    <col min="60" max="60" width="18.5703125" style="1" customWidth="1"/>
    <col min="61" max="61" width="11.28515625" style="1" customWidth="1"/>
    <col min="62" max="62" width="12.28515625" style="1" customWidth="1"/>
    <col min="63" max="63" width="13.5703125" style="1" customWidth="1"/>
    <col min="64" max="64" width="16.140625" style="1" customWidth="1"/>
    <col min="65" max="65" width="16.42578125" style="1" customWidth="1"/>
    <col min="66" max="66" width="18.140625" style="1" customWidth="1"/>
    <col min="67" max="67" width="12" style="1" customWidth="1"/>
    <col min="68" max="68" width="12.5703125" style="1" customWidth="1"/>
    <col min="69" max="69" width="15.42578125" style="1" customWidth="1"/>
    <col min="70" max="70" width="16.85546875" style="1" customWidth="1"/>
    <col min="71" max="71" width="15" style="1" customWidth="1"/>
    <col min="72" max="72" width="18.140625" style="1" customWidth="1"/>
    <col min="73" max="73" width="12" style="1" customWidth="1"/>
    <col min="74" max="74" width="12.5703125" style="1" customWidth="1"/>
    <col min="75" max="75" width="15.42578125" style="1" customWidth="1"/>
    <col min="76" max="76" width="16.85546875" style="1" customWidth="1"/>
    <col min="77" max="77" width="15" style="1" customWidth="1"/>
    <col min="78" max="78" width="19.7109375" style="1" customWidth="1"/>
    <col min="79" max="79" width="15.85546875" style="1" customWidth="1"/>
    <col min="80" max="81" width="15" style="1" customWidth="1"/>
    <col min="82" max="82" width="16.5703125" style="1" customWidth="1"/>
    <col min="83" max="83" width="15" style="1" customWidth="1"/>
    <col min="84" max="84" width="16.5703125" style="1" customWidth="1"/>
    <col min="85" max="87" width="15" style="1" customWidth="1"/>
    <col min="88" max="88" width="16.5703125" style="1" customWidth="1"/>
    <col min="89" max="89" width="15" style="1" customWidth="1"/>
    <col min="90" max="90" width="16.28515625" style="1" customWidth="1"/>
    <col min="91" max="93" width="15" style="1" customWidth="1"/>
    <col min="94" max="94" width="16.28515625" style="1" customWidth="1"/>
    <col min="95" max="95" width="15" style="1" customWidth="1"/>
    <col min="96" max="96" width="16.5703125" style="1" customWidth="1"/>
    <col min="97" max="99" width="15" style="1" customWidth="1"/>
    <col min="100" max="100" width="16" style="1" customWidth="1"/>
    <col min="101" max="101" width="15" style="1" customWidth="1"/>
    <col min="102" max="102" width="16" style="1" customWidth="1"/>
    <col min="103" max="105" width="15" style="1" customWidth="1"/>
    <col min="106" max="106" width="15.85546875" style="1" customWidth="1"/>
    <col min="107" max="107" width="15" style="1" customWidth="1"/>
    <col min="108" max="108" width="16" style="1" customWidth="1"/>
    <col min="109" max="111" width="15" style="1" customWidth="1"/>
    <col min="112" max="112" width="16.28515625" style="1" customWidth="1"/>
    <col min="113" max="113" width="15" style="1" customWidth="1"/>
    <col min="114" max="114" width="15.85546875" style="1" customWidth="1"/>
    <col min="115" max="117" width="15" style="1" customWidth="1"/>
    <col min="118" max="118" width="17" style="1" customWidth="1"/>
    <col min="119" max="119" width="15" style="1" customWidth="1"/>
    <col min="120" max="120" width="16.28515625" style="1" customWidth="1"/>
    <col min="121" max="123" width="15" style="1" customWidth="1"/>
    <col min="124" max="124" width="16" style="1" customWidth="1"/>
    <col min="125" max="129" width="15" style="1" customWidth="1"/>
    <col min="130" max="130" width="16.42578125" style="1" customWidth="1"/>
    <col min="131" max="135" width="15" style="1" customWidth="1"/>
    <col min="136" max="136" width="16.42578125" style="1" customWidth="1"/>
    <col min="137" max="141" width="15" style="1" customWidth="1"/>
    <col min="142" max="142" width="16.7109375" style="1" customWidth="1"/>
    <col min="143" max="147" width="15" style="1" customWidth="1"/>
    <col min="148" max="148" width="17.5703125" style="1" customWidth="1"/>
    <col min="149" max="153" width="15" style="1" customWidth="1"/>
    <col min="154" max="154" width="16.140625" style="1" customWidth="1"/>
    <col min="155" max="159" width="15" style="1" customWidth="1"/>
    <col min="160" max="160" width="16.42578125" style="1" customWidth="1"/>
    <col min="161" max="165" width="15" style="1" customWidth="1"/>
    <col min="166" max="166" width="16.85546875" style="1" customWidth="1"/>
    <col min="167" max="171" width="15" style="1" customWidth="1"/>
    <col min="172" max="172" width="16.85546875" style="1" customWidth="1"/>
    <col min="173" max="177" width="15" style="1" customWidth="1"/>
    <col min="178" max="178" width="16.42578125" style="1" customWidth="1"/>
    <col min="179" max="183" width="15" style="1" customWidth="1"/>
    <col min="184" max="184" width="17.140625" style="1" customWidth="1"/>
    <col min="185" max="189" width="15" style="1" customWidth="1"/>
    <col min="190" max="190" width="16.7109375" style="1" customWidth="1"/>
    <col min="191" max="191" width="15" style="1" customWidth="1"/>
    <col min="192" max="192" width="21.28515625" style="1" customWidth="1"/>
    <col min="193" max="193" width="20.5703125" style="1" customWidth="1"/>
    <col min="194" max="194" width="18.140625" style="1" customWidth="1"/>
    <col min="195" max="195" width="20.28515625" style="1" customWidth="1"/>
    <col min="196" max="16384" width="15.28515625" style="1"/>
  </cols>
  <sheetData>
    <row r="1" spans="1:195" s="5" customFormat="1" ht="22.5" customHeight="1" x14ac:dyDescent="0.2">
      <c r="A1" s="71"/>
      <c r="B1" s="71" t="s">
        <v>41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5" s="5" customFormat="1" x14ac:dyDescent="0.2"/>
    <row r="3" spans="1:195" s="74" customFormat="1" ht="34.5" customHeight="1" x14ac:dyDescent="0.2">
      <c r="A3" s="238" t="s">
        <v>2</v>
      </c>
      <c r="B3" s="239" t="s">
        <v>42</v>
      </c>
      <c r="C3" s="240" t="s">
        <v>43</v>
      </c>
      <c r="D3" s="240"/>
      <c r="E3" s="240"/>
      <c r="F3" s="240"/>
      <c r="G3" s="241" t="s">
        <v>44</v>
      </c>
      <c r="H3" s="241"/>
      <c r="I3" s="241"/>
      <c r="J3" s="241"/>
      <c r="K3" s="242" t="s">
        <v>45</v>
      </c>
      <c r="L3" s="72" t="s">
        <v>46</v>
      </c>
      <c r="M3" s="234" t="s">
        <v>47</v>
      </c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235" t="s">
        <v>48</v>
      </c>
      <c r="GK3" s="236" t="s">
        <v>49</v>
      </c>
      <c r="GL3" s="237" t="s">
        <v>50</v>
      </c>
      <c r="GM3" s="236" t="s">
        <v>51</v>
      </c>
    </row>
    <row r="4" spans="1:195" s="75" customFormat="1" ht="29.25" customHeight="1" x14ac:dyDescent="0.2">
      <c r="A4" s="238"/>
      <c r="B4" s="239"/>
      <c r="C4" s="243" t="s">
        <v>52</v>
      </c>
      <c r="D4" s="243"/>
      <c r="E4" s="243" t="s">
        <v>53</v>
      </c>
      <c r="F4" s="243"/>
      <c r="G4" s="244" t="s">
        <v>54</v>
      </c>
      <c r="H4" s="245" t="s">
        <v>55</v>
      </c>
      <c r="I4" s="245" t="s">
        <v>56</v>
      </c>
      <c r="J4" s="246" t="s">
        <v>57</v>
      </c>
      <c r="K4" s="242"/>
      <c r="L4" s="232" t="s">
        <v>201</v>
      </c>
      <c r="M4" s="233" t="s">
        <v>58</v>
      </c>
      <c r="N4" s="233"/>
      <c r="O4" s="233"/>
      <c r="P4" s="233"/>
      <c r="Q4" s="233"/>
      <c r="R4" s="233" t="s">
        <v>59</v>
      </c>
      <c r="S4" s="233"/>
      <c r="T4" s="233"/>
      <c r="U4" s="233"/>
      <c r="V4" s="233"/>
      <c r="W4" s="233"/>
      <c r="X4" s="233" t="s">
        <v>60</v>
      </c>
      <c r="Y4" s="233"/>
      <c r="Z4" s="233"/>
      <c r="AA4" s="233"/>
      <c r="AB4" s="233"/>
      <c r="AC4" s="233"/>
      <c r="AD4" s="233" t="s">
        <v>61</v>
      </c>
      <c r="AE4" s="233"/>
      <c r="AF4" s="233"/>
      <c r="AG4" s="233"/>
      <c r="AH4" s="233"/>
      <c r="AI4" s="233"/>
      <c r="AJ4" s="233" t="s">
        <v>62</v>
      </c>
      <c r="AK4" s="233"/>
      <c r="AL4" s="233"/>
      <c r="AM4" s="233"/>
      <c r="AN4" s="233"/>
      <c r="AO4" s="233"/>
      <c r="AP4" s="233" t="s">
        <v>63</v>
      </c>
      <c r="AQ4" s="233"/>
      <c r="AR4" s="233"/>
      <c r="AS4" s="233"/>
      <c r="AT4" s="233"/>
      <c r="AU4" s="233"/>
      <c r="AV4" s="233" t="s">
        <v>64</v>
      </c>
      <c r="AW4" s="233"/>
      <c r="AX4" s="233"/>
      <c r="AY4" s="233"/>
      <c r="AZ4" s="233"/>
      <c r="BA4" s="233"/>
      <c r="BB4" s="233" t="s">
        <v>65</v>
      </c>
      <c r="BC4" s="233"/>
      <c r="BD4" s="233"/>
      <c r="BE4" s="233"/>
      <c r="BF4" s="233"/>
      <c r="BG4" s="233"/>
      <c r="BH4" s="233" t="s">
        <v>66</v>
      </c>
      <c r="BI4" s="233"/>
      <c r="BJ4" s="233"/>
      <c r="BK4" s="233"/>
      <c r="BL4" s="233"/>
      <c r="BM4" s="233"/>
      <c r="BN4" s="231" t="s">
        <v>67</v>
      </c>
      <c r="BO4" s="231"/>
      <c r="BP4" s="231"/>
      <c r="BQ4" s="231"/>
      <c r="BR4" s="231"/>
      <c r="BS4" s="231"/>
      <c r="BT4" s="231" t="s">
        <v>68</v>
      </c>
      <c r="BU4" s="231"/>
      <c r="BV4" s="231"/>
      <c r="BW4" s="231"/>
      <c r="BX4" s="231"/>
      <c r="BY4" s="231"/>
      <c r="BZ4" s="231" t="s">
        <v>69</v>
      </c>
      <c r="CA4" s="231"/>
      <c r="CB4" s="231"/>
      <c r="CC4" s="231"/>
      <c r="CD4" s="231"/>
      <c r="CE4" s="231"/>
      <c r="CF4" s="231" t="s">
        <v>70</v>
      </c>
      <c r="CG4" s="231"/>
      <c r="CH4" s="231"/>
      <c r="CI4" s="231"/>
      <c r="CJ4" s="231"/>
      <c r="CK4" s="231"/>
      <c r="CL4" s="231" t="s">
        <v>71</v>
      </c>
      <c r="CM4" s="231"/>
      <c r="CN4" s="231"/>
      <c r="CO4" s="231"/>
      <c r="CP4" s="231"/>
      <c r="CQ4" s="231"/>
      <c r="CR4" s="231" t="s">
        <v>72</v>
      </c>
      <c r="CS4" s="231"/>
      <c r="CT4" s="231"/>
      <c r="CU4" s="231"/>
      <c r="CV4" s="231"/>
      <c r="CW4" s="231"/>
      <c r="CX4" s="231" t="s">
        <v>73</v>
      </c>
      <c r="CY4" s="231"/>
      <c r="CZ4" s="231"/>
      <c r="DA4" s="231"/>
      <c r="DB4" s="231"/>
      <c r="DC4" s="231"/>
      <c r="DD4" s="231" t="s">
        <v>74</v>
      </c>
      <c r="DE4" s="231"/>
      <c r="DF4" s="231"/>
      <c r="DG4" s="231"/>
      <c r="DH4" s="231"/>
      <c r="DI4" s="231"/>
      <c r="DJ4" s="231" t="s">
        <v>75</v>
      </c>
      <c r="DK4" s="231"/>
      <c r="DL4" s="231"/>
      <c r="DM4" s="231"/>
      <c r="DN4" s="231"/>
      <c r="DO4" s="231"/>
      <c r="DP4" s="231" t="s">
        <v>76</v>
      </c>
      <c r="DQ4" s="231"/>
      <c r="DR4" s="231"/>
      <c r="DS4" s="231"/>
      <c r="DT4" s="231"/>
      <c r="DU4" s="231"/>
      <c r="DV4" s="231" t="s">
        <v>77</v>
      </c>
      <c r="DW4" s="231"/>
      <c r="DX4" s="231"/>
      <c r="DY4" s="231"/>
      <c r="DZ4" s="231"/>
      <c r="EA4" s="231"/>
      <c r="EB4" s="231" t="s">
        <v>78</v>
      </c>
      <c r="EC4" s="231"/>
      <c r="ED4" s="231"/>
      <c r="EE4" s="231"/>
      <c r="EF4" s="231"/>
      <c r="EG4" s="231"/>
      <c r="EH4" s="231" t="s">
        <v>79</v>
      </c>
      <c r="EI4" s="231"/>
      <c r="EJ4" s="231"/>
      <c r="EK4" s="231"/>
      <c r="EL4" s="231"/>
      <c r="EM4" s="231"/>
      <c r="EN4" s="231" t="s">
        <v>80</v>
      </c>
      <c r="EO4" s="231"/>
      <c r="EP4" s="231"/>
      <c r="EQ4" s="231"/>
      <c r="ER4" s="231"/>
      <c r="ES4" s="231"/>
      <c r="ET4" s="231" t="s">
        <v>81</v>
      </c>
      <c r="EU4" s="231"/>
      <c r="EV4" s="231"/>
      <c r="EW4" s="231"/>
      <c r="EX4" s="231"/>
      <c r="EY4" s="231"/>
      <c r="EZ4" s="231" t="s">
        <v>82</v>
      </c>
      <c r="FA4" s="231"/>
      <c r="FB4" s="231"/>
      <c r="FC4" s="231"/>
      <c r="FD4" s="231"/>
      <c r="FE4" s="231"/>
      <c r="FF4" s="231" t="s">
        <v>83</v>
      </c>
      <c r="FG4" s="231"/>
      <c r="FH4" s="231"/>
      <c r="FI4" s="231"/>
      <c r="FJ4" s="231"/>
      <c r="FK4" s="231"/>
      <c r="FL4" s="231" t="s">
        <v>84</v>
      </c>
      <c r="FM4" s="231"/>
      <c r="FN4" s="231"/>
      <c r="FO4" s="231"/>
      <c r="FP4" s="231"/>
      <c r="FQ4" s="231"/>
      <c r="FR4" s="231" t="s">
        <v>85</v>
      </c>
      <c r="FS4" s="231"/>
      <c r="FT4" s="231"/>
      <c r="FU4" s="231"/>
      <c r="FV4" s="231"/>
      <c r="FW4" s="231"/>
      <c r="FX4" s="231" t="s">
        <v>86</v>
      </c>
      <c r="FY4" s="231"/>
      <c r="FZ4" s="231"/>
      <c r="GA4" s="231"/>
      <c r="GB4" s="231"/>
      <c r="GC4" s="231"/>
      <c r="GD4" s="231" t="s">
        <v>87</v>
      </c>
      <c r="GE4" s="231"/>
      <c r="GF4" s="231"/>
      <c r="GG4" s="231"/>
      <c r="GH4" s="231"/>
      <c r="GI4" s="231"/>
      <c r="GJ4" s="235"/>
      <c r="GK4" s="236"/>
      <c r="GL4" s="237"/>
      <c r="GM4" s="236"/>
    </row>
    <row r="5" spans="1:195" s="75" customFormat="1" ht="246" customHeight="1" x14ac:dyDescent="0.2">
      <c r="A5" s="238"/>
      <c r="B5" s="239"/>
      <c r="C5" s="247" t="s">
        <v>200</v>
      </c>
      <c r="D5" s="247"/>
      <c r="E5" s="247" t="s">
        <v>88</v>
      </c>
      <c r="F5" s="247"/>
      <c r="G5" s="244"/>
      <c r="H5" s="245"/>
      <c r="I5" s="245"/>
      <c r="J5" s="246"/>
      <c r="K5" s="242"/>
      <c r="L5" s="232"/>
      <c r="M5" s="76" t="s">
        <v>89</v>
      </c>
      <c r="N5" s="77" t="s">
        <v>90</v>
      </c>
      <c r="O5" s="77" t="s">
        <v>91</v>
      </c>
      <c r="P5" s="77" t="s">
        <v>92</v>
      </c>
      <c r="Q5" s="78" t="s">
        <v>93</v>
      </c>
      <c r="R5" s="76" t="s">
        <v>94</v>
      </c>
      <c r="S5" s="77" t="s">
        <v>95</v>
      </c>
      <c r="T5" s="77" t="s">
        <v>89</v>
      </c>
      <c r="U5" s="77" t="s">
        <v>91</v>
      </c>
      <c r="V5" s="77" t="s">
        <v>92</v>
      </c>
      <c r="W5" s="78" t="s">
        <v>96</v>
      </c>
      <c r="X5" s="76" t="s">
        <v>97</v>
      </c>
      <c r="Y5" s="77" t="s">
        <v>98</v>
      </c>
      <c r="Z5" s="77" t="s">
        <v>89</v>
      </c>
      <c r="AA5" s="77" t="s">
        <v>91</v>
      </c>
      <c r="AB5" s="77" t="s">
        <v>92</v>
      </c>
      <c r="AC5" s="78" t="s">
        <v>99</v>
      </c>
      <c r="AD5" s="76" t="s">
        <v>100</v>
      </c>
      <c r="AE5" s="77" t="s">
        <v>101</v>
      </c>
      <c r="AF5" s="77" t="s">
        <v>89</v>
      </c>
      <c r="AG5" s="77" t="s">
        <v>91</v>
      </c>
      <c r="AH5" s="77" t="s">
        <v>92</v>
      </c>
      <c r="AI5" s="78" t="s">
        <v>102</v>
      </c>
      <c r="AJ5" s="76" t="s">
        <v>103</v>
      </c>
      <c r="AK5" s="77" t="s">
        <v>104</v>
      </c>
      <c r="AL5" s="77" t="s">
        <v>89</v>
      </c>
      <c r="AM5" s="77" t="s">
        <v>91</v>
      </c>
      <c r="AN5" s="77" t="s">
        <v>92</v>
      </c>
      <c r="AO5" s="78" t="s">
        <v>105</v>
      </c>
      <c r="AP5" s="76" t="s">
        <v>106</v>
      </c>
      <c r="AQ5" s="77" t="s">
        <v>107</v>
      </c>
      <c r="AR5" s="77" t="s">
        <v>89</v>
      </c>
      <c r="AS5" s="77" t="s">
        <v>91</v>
      </c>
      <c r="AT5" s="77" t="s">
        <v>92</v>
      </c>
      <c r="AU5" s="78" t="s">
        <v>108</v>
      </c>
      <c r="AV5" s="76" t="s">
        <v>109</v>
      </c>
      <c r="AW5" s="77" t="s">
        <v>110</v>
      </c>
      <c r="AX5" s="77" t="s">
        <v>89</v>
      </c>
      <c r="AY5" s="77" t="s">
        <v>91</v>
      </c>
      <c r="AZ5" s="77" t="s">
        <v>92</v>
      </c>
      <c r="BA5" s="78" t="s">
        <v>111</v>
      </c>
      <c r="BB5" s="76" t="s">
        <v>112</v>
      </c>
      <c r="BC5" s="77" t="s">
        <v>113</v>
      </c>
      <c r="BD5" s="77" t="s">
        <v>89</v>
      </c>
      <c r="BE5" s="77" t="s">
        <v>91</v>
      </c>
      <c r="BF5" s="77" t="s">
        <v>92</v>
      </c>
      <c r="BG5" s="78" t="s">
        <v>114</v>
      </c>
      <c r="BH5" s="76" t="s">
        <v>115</v>
      </c>
      <c r="BI5" s="77" t="s">
        <v>116</v>
      </c>
      <c r="BJ5" s="77" t="s">
        <v>89</v>
      </c>
      <c r="BK5" s="77" t="s">
        <v>91</v>
      </c>
      <c r="BL5" s="77" t="s">
        <v>92</v>
      </c>
      <c r="BM5" s="78" t="s">
        <v>117</v>
      </c>
      <c r="BN5" s="76" t="s">
        <v>118</v>
      </c>
      <c r="BO5" s="77" t="s">
        <v>119</v>
      </c>
      <c r="BP5" s="77" t="s">
        <v>89</v>
      </c>
      <c r="BQ5" s="77" t="s">
        <v>91</v>
      </c>
      <c r="BR5" s="77" t="s">
        <v>92</v>
      </c>
      <c r="BS5" s="79" t="s">
        <v>120</v>
      </c>
      <c r="BT5" s="76" t="s">
        <v>121</v>
      </c>
      <c r="BU5" s="77" t="s">
        <v>122</v>
      </c>
      <c r="BV5" s="77" t="s">
        <v>89</v>
      </c>
      <c r="BW5" s="77" t="s">
        <v>91</v>
      </c>
      <c r="BX5" s="77" t="s">
        <v>92</v>
      </c>
      <c r="BY5" s="79" t="s">
        <v>123</v>
      </c>
      <c r="BZ5" s="76" t="s">
        <v>124</v>
      </c>
      <c r="CA5" s="77" t="s">
        <v>125</v>
      </c>
      <c r="CB5" s="77" t="s">
        <v>89</v>
      </c>
      <c r="CC5" s="77" t="s">
        <v>91</v>
      </c>
      <c r="CD5" s="77" t="s">
        <v>92</v>
      </c>
      <c r="CE5" s="79" t="s">
        <v>126</v>
      </c>
      <c r="CF5" s="76" t="s">
        <v>127</v>
      </c>
      <c r="CG5" s="77" t="s">
        <v>128</v>
      </c>
      <c r="CH5" s="77" t="s">
        <v>89</v>
      </c>
      <c r="CI5" s="77" t="s">
        <v>91</v>
      </c>
      <c r="CJ5" s="77" t="s">
        <v>92</v>
      </c>
      <c r="CK5" s="79" t="s">
        <v>129</v>
      </c>
      <c r="CL5" s="76" t="s">
        <v>130</v>
      </c>
      <c r="CM5" s="77" t="s">
        <v>131</v>
      </c>
      <c r="CN5" s="77" t="s">
        <v>89</v>
      </c>
      <c r="CO5" s="77" t="s">
        <v>91</v>
      </c>
      <c r="CP5" s="77" t="s">
        <v>92</v>
      </c>
      <c r="CQ5" s="79" t="s">
        <v>132</v>
      </c>
      <c r="CR5" s="76" t="s">
        <v>133</v>
      </c>
      <c r="CS5" s="77" t="s">
        <v>134</v>
      </c>
      <c r="CT5" s="77" t="s">
        <v>89</v>
      </c>
      <c r="CU5" s="77" t="s">
        <v>91</v>
      </c>
      <c r="CV5" s="77" t="s">
        <v>92</v>
      </c>
      <c r="CW5" s="79" t="s">
        <v>135</v>
      </c>
      <c r="CX5" s="76" t="s">
        <v>136</v>
      </c>
      <c r="CY5" s="77" t="s">
        <v>137</v>
      </c>
      <c r="CZ5" s="77" t="s">
        <v>89</v>
      </c>
      <c r="DA5" s="77" t="s">
        <v>91</v>
      </c>
      <c r="DB5" s="77" t="s">
        <v>92</v>
      </c>
      <c r="DC5" s="79" t="s">
        <v>138</v>
      </c>
      <c r="DD5" s="76" t="s">
        <v>139</v>
      </c>
      <c r="DE5" s="77" t="s">
        <v>140</v>
      </c>
      <c r="DF5" s="77" t="s">
        <v>89</v>
      </c>
      <c r="DG5" s="77" t="s">
        <v>91</v>
      </c>
      <c r="DH5" s="77" t="s">
        <v>92</v>
      </c>
      <c r="DI5" s="79" t="s">
        <v>141</v>
      </c>
      <c r="DJ5" s="76" t="s">
        <v>142</v>
      </c>
      <c r="DK5" s="77" t="s">
        <v>143</v>
      </c>
      <c r="DL5" s="77" t="s">
        <v>89</v>
      </c>
      <c r="DM5" s="77" t="s">
        <v>91</v>
      </c>
      <c r="DN5" s="77" t="s">
        <v>92</v>
      </c>
      <c r="DO5" s="79" t="s">
        <v>144</v>
      </c>
      <c r="DP5" s="76" t="s">
        <v>145</v>
      </c>
      <c r="DQ5" s="77" t="s">
        <v>146</v>
      </c>
      <c r="DR5" s="77" t="s">
        <v>89</v>
      </c>
      <c r="DS5" s="77" t="s">
        <v>91</v>
      </c>
      <c r="DT5" s="77" t="s">
        <v>92</v>
      </c>
      <c r="DU5" s="79" t="s">
        <v>147</v>
      </c>
      <c r="DV5" s="76" t="s">
        <v>148</v>
      </c>
      <c r="DW5" s="77" t="s">
        <v>149</v>
      </c>
      <c r="DX5" s="77" t="s">
        <v>89</v>
      </c>
      <c r="DY5" s="77" t="s">
        <v>91</v>
      </c>
      <c r="DZ5" s="77" t="s">
        <v>92</v>
      </c>
      <c r="EA5" s="79" t="s">
        <v>150</v>
      </c>
      <c r="EB5" s="76" t="s">
        <v>151</v>
      </c>
      <c r="EC5" s="77" t="s">
        <v>152</v>
      </c>
      <c r="ED5" s="77" t="s">
        <v>89</v>
      </c>
      <c r="EE5" s="77" t="s">
        <v>91</v>
      </c>
      <c r="EF5" s="77" t="s">
        <v>92</v>
      </c>
      <c r="EG5" s="79" t="s">
        <v>153</v>
      </c>
      <c r="EH5" s="76" t="s">
        <v>154</v>
      </c>
      <c r="EI5" s="77" t="s">
        <v>155</v>
      </c>
      <c r="EJ5" s="77" t="s">
        <v>89</v>
      </c>
      <c r="EK5" s="77" t="s">
        <v>91</v>
      </c>
      <c r="EL5" s="77" t="s">
        <v>92</v>
      </c>
      <c r="EM5" s="79" t="s">
        <v>156</v>
      </c>
      <c r="EN5" s="76" t="s">
        <v>157</v>
      </c>
      <c r="EO5" s="77" t="s">
        <v>158</v>
      </c>
      <c r="EP5" s="77" t="s">
        <v>89</v>
      </c>
      <c r="EQ5" s="77" t="s">
        <v>91</v>
      </c>
      <c r="ER5" s="77" t="s">
        <v>92</v>
      </c>
      <c r="ES5" s="79" t="s">
        <v>159</v>
      </c>
      <c r="ET5" s="76" t="s">
        <v>160</v>
      </c>
      <c r="EU5" s="77" t="s">
        <v>161</v>
      </c>
      <c r="EV5" s="77" t="s">
        <v>89</v>
      </c>
      <c r="EW5" s="77" t="s">
        <v>91</v>
      </c>
      <c r="EX5" s="77" t="s">
        <v>92</v>
      </c>
      <c r="EY5" s="79" t="s">
        <v>162</v>
      </c>
      <c r="EZ5" s="76" t="s">
        <v>163</v>
      </c>
      <c r="FA5" s="77" t="s">
        <v>164</v>
      </c>
      <c r="FB5" s="77" t="s">
        <v>89</v>
      </c>
      <c r="FC5" s="77" t="s">
        <v>91</v>
      </c>
      <c r="FD5" s="77" t="s">
        <v>92</v>
      </c>
      <c r="FE5" s="79" t="s">
        <v>165</v>
      </c>
      <c r="FF5" s="76" t="s">
        <v>166</v>
      </c>
      <c r="FG5" s="77" t="s">
        <v>167</v>
      </c>
      <c r="FH5" s="77" t="s">
        <v>89</v>
      </c>
      <c r="FI5" s="77" t="s">
        <v>91</v>
      </c>
      <c r="FJ5" s="77" t="s">
        <v>92</v>
      </c>
      <c r="FK5" s="79" t="s">
        <v>168</v>
      </c>
      <c r="FL5" s="76" t="s">
        <v>169</v>
      </c>
      <c r="FM5" s="77" t="s">
        <v>170</v>
      </c>
      <c r="FN5" s="77" t="s">
        <v>89</v>
      </c>
      <c r="FO5" s="77" t="s">
        <v>91</v>
      </c>
      <c r="FP5" s="77" t="s">
        <v>92</v>
      </c>
      <c r="FQ5" s="79" t="s">
        <v>171</v>
      </c>
      <c r="FR5" s="76" t="s">
        <v>172</v>
      </c>
      <c r="FS5" s="77" t="s">
        <v>173</v>
      </c>
      <c r="FT5" s="77" t="s">
        <v>89</v>
      </c>
      <c r="FU5" s="77" t="s">
        <v>91</v>
      </c>
      <c r="FV5" s="77" t="s">
        <v>92</v>
      </c>
      <c r="FW5" s="79" t="s">
        <v>174</v>
      </c>
      <c r="FX5" s="76" t="s">
        <v>175</v>
      </c>
      <c r="FY5" s="77" t="s">
        <v>176</v>
      </c>
      <c r="FZ5" s="77" t="s">
        <v>89</v>
      </c>
      <c r="GA5" s="77" t="s">
        <v>91</v>
      </c>
      <c r="GB5" s="77" t="s">
        <v>92</v>
      </c>
      <c r="GC5" s="79" t="s">
        <v>177</v>
      </c>
      <c r="GD5" s="76" t="s">
        <v>178</v>
      </c>
      <c r="GE5" s="77" t="s">
        <v>179</v>
      </c>
      <c r="GF5" s="77" t="s">
        <v>89</v>
      </c>
      <c r="GG5" s="77" t="s">
        <v>91</v>
      </c>
      <c r="GH5" s="77" t="s">
        <v>92</v>
      </c>
      <c r="GI5" s="79" t="s">
        <v>180</v>
      </c>
      <c r="GJ5" s="235"/>
      <c r="GK5" s="236"/>
      <c r="GL5" s="237"/>
      <c r="GM5" s="236"/>
    </row>
    <row r="6" spans="1:195" s="75" customFormat="1" ht="18.75" x14ac:dyDescent="0.2">
      <c r="A6" s="238"/>
      <c r="B6" s="80" t="s">
        <v>181</v>
      </c>
      <c r="C6" s="81" t="s">
        <v>182</v>
      </c>
      <c r="D6" s="82" t="s">
        <v>183</v>
      </c>
      <c r="E6" s="81" t="s">
        <v>184</v>
      </c>
      <c r="F6" s="82" t="s">
        <v>185</v>
      </c>
      <c r="G6" s="83" t="s">
        <v>9</v>
      </c>
      <c r="H6" s="84" t="s">
        <v>10</v>
      </c>
      <c r="I6" s="85" t="s">
        <v>186</v>
      </c>
      <c r="J6" s="86" t="s">
        <v>187</v>
      </c>
      <c r="K6" s="87" t="s">
        <v>188</v>
      </c>
      <c r="L6" s="88" t="s">
        <v>189</v>
      </c>
      <c r="M6" s="81" t="s">
        <v>188</v>
      </c>
      <c r="N6" s="84" t="s">
        <v>190</v>
      </c>
      <c r="O6" s="84" t="s">
        <v>191</v>
      </c>
      <c r="P6" s="84" t="s">
        <v>192</v>
      </c>
      <c r="Q6" s="82" t="s">
        <v>193</v>
      </c>
      <c r="R6" s="81" t="s">
        <v>185</v>
      </c>
      <c r="S6" s="84" t="s">
        <v>190</v>
      </c>
      <c r="T6" s="84" t="s">
        <v>188</v>
      </c>
      <c r="U6" s="84" t="s">
        <v>191</v>
      </c>
      <c r="V6" s="84" t="s">
        <v>192</v>
      </c>
      <c r="W6" s="82" t="s">
        <v>193</v>
      </c>
      <c r="X6" s="81" t="s">
        <v>185</v>
      </c>
      <c r="Y6" s="84" t="s">
        <v>190</v>
      </c>
      <c r="Z6" s="84" t="s">
        <v>188</v>
      </c>
      <c r="AA6" s="84" t="s">
        <v>191</v>
      </c>
      <c r="AB6" s="84" t="s">
        <v>192</v>
      </c>
      <c r="AC6" s="82" t="s">
        <v>193</v>
      </c>
      <c r="AD6" s="81" t="s">
        <v>185</v>
      </c>
      <c r="AE6" s="84" t="s">
        <v>190</v>
      </c>
      <c r="AF6" s="84" t="s">
        <v>188</v>
      </c>
      <c r="AG6" s="84" t="s">
        <v>191</v>
      </c>
      <c r="AH6" s="84" t="s">
        <v>192</v>
      </c>
      <c r="AI6" s="82" t="s">
        <v>193</v>
      </c>
      <c r="AJ6" s="81" t="s">
        <v>185</v>
      </c>
      <c r="AK6" s="84" t="s">
        <v>190</v>
      </c>
      <c r="AL6" s="84" t="s">
        <v>188</v>
      </c>
      <c r="AM6" s="84" t="s">
        <v>191</v>
      </c>
      <c r="AN6" s="84" t="s">
        <v>192</v>
      </c>
      <c r="AO6" s="82" t="s">
        <v>193</v>
      </c>
      <c r="AP6" s="81" t="s">
        <v>185</v>
      </c>
      <c r="AQ6" s="84" t="s">
        <v>190</v>
      </c>
      <c r="AR6" s="84" t="s">
        <v>188</v>
      </c>
      <c r="AS6" s="84" t="s">
        <v>191</v>
      </c>
      <c r="AT6" s="84" t="s">
        <v>192</v>
      </c>
      <c r="AU6" s="82" t="s">
        <v>193</v>
      </c>
      <c r="AV6" s="81" t="s">
        <v>185</v>
      </c>
      <c r="AW6" s="84" t="s">
        <v>190</v>
      </c>
      <c r="AX6" s="84" t="s">
        <v>188</v>
      </c>
      <c r="AY6" s="84" t="s">
        <v>191</v>
      </c>
      <c r="AZ6" s="84" t="s">
        <v>192</v>
      </c>
      <c r="BA6" s="82" t="s">
        <v>193</v>
      </c>
      <c r="BB6" s="81" t="s">
        <v>185</v>
      </c>
      <c r="BC6" s="84" t="s">
        <v>190</v>
      </c>
      <c r="BD6" s="84" t="s">
        <v>188</v>
      </c>
      <c r="BE6" s="84" t="s">
        <v>191</v>
      </c>
      <c r="BF6" s="84" t="s">
        <v>192</v>
      </c>
      <c r="BG6" s="82" t="s">
        <v>193</v>
      </c>
      <c r="BH6" s="81" t="s">
        <v>185</v>
      </c>
      <c r="BI6" s="84" t="s">
        <v>190</v>
      </c>
      <c r="BJ6" s="84" t="s">
        <v>188</v>
      </c>
      <c r="BK6" s="84" t="s">
        <v>191</v>
      </c>
      <c r="BL6" s="84" t="s">
        <v>192</v>
      </c>
      <c r="BM6" s="82" t="s">
        <v>193</v>
      </c>
      <c r="BN6" s="81" t="s">
        <v>185</v>
      </c>
      <c r="BO6" s="84" t="s">
        <v>190</v>
      </c>
      <c r="BP6" s="84" t="s">
        <v>188</v>
      </c>
      <c r="BQ6" s="84" t="s">
        <v>191</v>
      </c>
      <c r="BR6" s="84" t="s">
        <v>192</v>
      </c>
      <c r="BS6" s="86" t="s">
        <v>193</v>
      </c>
      <c r="BT6" s="81" t="s">
        <v>185</v>
      </c>
      <c r="BU6" s="84" t="s">
        <v>190</v>
      </c>
      <c r="BV6" s="84" t="s">
        <v>188</v>
      </c>
      <c r="BW6" s="84" t="s">
        <v>194</v>
      </c>
      <c r="BX6" s="84" t="s">
        <v>192</v>
      </c>
      <c r="BY6" s="86" t="s">
        <v>193</v>
      </c>
      <c r="BZ6" s="81" t="s">
        <v>185</v>
      </c>
      <c r="CA6" s="84" t="s">
        <v>190</v>
      </c>
      <c r="CB6" s="84" t="s">
        <v>188</v>
      </c>
      <c r="CC6" s="84" t="s">
        <v>194</v>
      </c>
      <c r="CD6" s="84" t="s">
        <v>192</v>
      </c>
      <c r="CE6" s="86" t="s">
        <v>193</v>
      </c>
      <c r="CF6" s="81" t="s">
        <v>185</v>
      </c>
      <c r="CG6" s="84" t="s">
        <v>190</v>
      </c>
      <c r="CH6" s="84" t="s">
        <v>188</v>
      </c>
      <c r="CI6" s="84" t="s">
        <v>194</v>
      </c>
      <c r="CJ6" s="84" t="s">
        <v>192</v>
      </c>
      <c r="CK6" s="86" t="s">
        <v>193</v>
      </c>
      <c r="CL6" s="81" t="s">
        <v>185</v>
      </c>
      <c r="CM6" s="84" t="s">
        <v>190</v>
      </c>
      <c r="CN6" s="84" t="s">
        <v>188</v>
      </c>
      <c r="CO6" s="84" t="s">
        <v>194</v>
      </c>
      <c r="CP6" s="84" t="s">
        <v>192</v>
      </c>
      <c r="CQ6" s="86" t="s">
        <v>193</v>
      </c>
      <c r="CR6" s="81" t="s">
        <v>185</v>
      </c>
      <c r="CS6" s="84" t="s">
        <v>190</v>
      </c>
      <c r="CT6" s="84" t="s">
        <v>188</v>
      </c>
      <c r="CU6" s="84" t="s">
        <v>194</v>
      </c>
      <c r="CV6" s="84" t="s">
        <v>192</v>
      </c>
      <c r="CW6" s="86" t="s">
        <v>193</v>
      </c>
      <c r="CX6" s="81" t="s">
        <v>185</v>
      </c>
      <c r="CY6" s="84" t="s">
        <v>190</v>
      </c>
      <c r="CZ6" s="84" t="s">
        <v>188</v>
      </c>
      <c r="DA6" s="84" t="s">
        <v>194</v>
      </c>
      <c r="DB6" s="84" t="s">
        <v>192</v>
      </c>
      <c r="DC6" s="86" t="s">
        <v>193</v>
      </c>
      <c r="DD6" s="81" t="s">
        <v>185</v>
      </c>
      <c r="DE6" s="84" t="s">
        <v>190</v>
      </c>
      <c r="DF6" s="84" t="s">
        <v>188</v>
      </c>
      <c r="DG6" s="84" t="s">
        <v>194</v>
      </c>
      <c r="DH6" s="84" t="s">
        <v>192</v>
      </c>
      <c r="DI6" s="86" t="s">
        <v>193</v>
      </c>
      <c r="DJ6" s="81" t="s">
        <v>185</v>
      </c>
      <c r="DK6" s="84" t="s">
        <v>190</v>
      </c>
      <c r="DL6" s="84" t="s">
        <v>188</v>
      </c>
      <c r="DM6" s="84" t="s">
        <v>194</v>
      </c>
      <c r="DN6" s="84" t="s">
        <v>192</v>
      </c>
      <c r="DO6" s="86" t="s">
        <v>193</v>
      </c>
      <c r="DP6" s="81" t="s">
        <v>185</v>
      </c>
      <c r="DQ6" s="84" t="s">
        <v>190</v>
      </c>
      <c r="DR6" s="84" t="s">
        <v>188</v>
      </c>
      <c r="DS6" s="84" t="s">
        <v>194</v>
      </c>
      <c r="DT6" s="84" t="s">
        <v>192</v>
      </c>
      <c r="DU6" s="86" t="s">
        <v>193</v>
      </c>
      <c r="DV6" s="81" t="s">
        <v>185</v>
      </c>
      <c r="DW6" s="84" t="s">
        <v>190</v>
      </c>
      <c r="DX6" s="84" t="s">
        <v>188</v>
      </c>
      <c r="DY6" s="84" t="s">
        <v>194</v>
      </c>
      <c r="DZ6" s="84" t="s">
        <v>192</v>
      </c>
      <c r="EA6" s="86" t="s">
        <v>193</v>
      </c>
      <c r="EB6" s="81" t="s">
        <v>185</v>
      </c>
      <c r="EC6" s="84" t="s">
        <v>190</v>
      </c>
      <c r="ED6" s="84" t="s">
        <v>188</v>
      </c>
      <c r="EE6" s="84" t="s">
        <v>194</v>
      </c>
      <c r="EF6" s="84" t="s">
        <v>192</v>
      </c>
      <c r="EG6" s="86" t="s">
        <v>193</v>
      </c>
      <c r="EH6" s="81" t="s">
        <v>185</v>
      </c>
      <c r="EI6" s="84" t="s">
        <v>190</v>
      </c>
      <c r="EJ6" s="84" t="s">
        <v>188</v>
      </c>
      <c r="EK6" s="84" t="s">
        <v>194</v>
      </c>
      <c r="EL6" s="84" t="s">
        <v>192</v>
      </c>
      <c r="EM6" s="86" t="s">
        <v>193</v>
      </c>
      <c r="EN6" s="81" t="s">
        <v>185</v>
      </c>
      <c r="EO6" s="84" t="s">
        <v>190</v>
      </c>
      <c r="EP6" s="84" t="s">
        <v>188</v>
      </c>
      <c r="EQ6" s="84" t="s">
        <v>194</v>
      </c>
      <c r="ER6" s="84" t="s">
        <v>192</v>
      </c>
      <c r="ES6" s="86" t="s">
        <v>193</v>
      </c>
      <c r="ET6" s="81" t="s">
        <v>185</v>
      </c>
      <c r="EU6" s="84" t="s">
        <v>190</v>
      </c>
      <c r="EV6" s="84" t="s">
        <v>188</v>
      </c>
      <c r="EW6" s="84" t="s">
        <v>194</v>
      </c>
      <c r="EX6" s="84" t="s">
        <v>192</v>
      </c>
      <c r="EY6" s="86" t="s">
        <v>193</v>
      </c>
      <c r="EZ6" s="81" t="s">
        <v>185</v>
      </c>
      <c r="FA6" s="84" t="s">
        <v>190</v>
      </c>
      <c r="FB6" s="84" t="s">
        <v>188</v>
      </c>
      <c r="FC6" s="84" t="s">
        <v>194</v>
      </c>
      <c r="FD6" s="84" t="s">
        <v>192</v>
      </c>
      <c r="FE6" s="86" t="s">
        <v>193</v>
      </c>
      <c r="FF6" s="81" t="s">
        <v>185</v>
      </c>
      <c r="FG6" s="84" t="s">
        <v>190</v>
      </c>
      <c r="FH6" s="84" t="s">
        <v>188</v>
      </c>
      <c r="FI6" s="84" t="s">
        <v>194</v>
      </c>
      <c r="FJ6" s="84" t="s">
        <v>192</v>
      </c>
      <c r="FK6" s="86" t="s">
        <v>193</v>
      </c>
      <c r="FL6" s="81" t="s">
        <v>185</v>
      </c>
      <c r="FM6" s="84" t="s">
        <v>190</v>
      </c>
      <c r="FN6" s="84" t="s">
        <v>188</v>
      </c>
      <c r="FO6" s="84" t="s">
        <v>194</v>
      </c>
      <c r="FP6" s="84" t="s">
        <v>192</v>
      </c>
      <c r="FQ6" s="86" t="s">
        <v>193</v>
      </c>
      <c r="FR6" s="81" t="s">
        <v>185</v>
      </c>
      <c r="FS6" s="84" t="s">
        <v>190</v>
      </c>
      <c r="FT6" s="84" t="s">
        <v>188</v>
      </c>
      <c r="FU6" s="84" t="s">
        <v>194</v>
      </c>
      <c r="FV6" s="84" t="s">
        <v>192</v>
      </c>
      <c r="FW6" s="86" t="s">
        <v>193</v>
      </c>
      <c r="FX6" s="81" t="s">
        <v>185</v>
      </c>
      <c r="FY6" s="84" t="s">
        <v>190</v>
      </c>
      <c r="FZ6" s="84" t="s">
        <v>188</v>
      </c>
      <c r="GA6" s="84" t="s">
        <v>194</v>
      </c>
      <c r="GB6" s="84" t="s">
        <v>192</v>
      </c>
      <c r="GC6" s="86" t="s">
        <v>193</v>
      </c>
      <c r="GD6" s="81" t="s">
        <v>185</v>
      </c>
      <c r="GE6" s="84" t="s">
        <v>190</v>
      </c>
      <c r="GF6" s="84" t="s">
        <v>188</v>
      </c>
      <c r="GG6" s="84" t="s">
        <v>194</v>
      </c>
      <c r="GH6" s="84" t="s">
        <v>192</v>
      </c>
      <c r="GI6" s="86" t="s">
        <v>193</v>
      </c>
      <c r="GJ6" s="89" t="s">
        <v>193</v>
      </c>
      <c r="GK6" s="90" t="s">
        <v>195</v>
      </c>
      <c r="GL6" s="91" t="s">
        <v>196</v>
      </c>
      <c r="GM6" s="90" t="s">
        <v>195</v>
      </c>
    </row>
    <row r="7" spans="1:195" s="103" customFormat="1" ht="15" x14ac:dyDescent="0.2">
      <c r="A7" s="92">
        <v>1</v>
      </c>
      <c r="B7" s="93">
        <f t="shared" ref="B7:AG7" si="0">A7+1</f>
        <v>2</v>
      </c>
      <c r="C7" s="94">
        <f t="shared" si="0"/>
        <v>3</v>
      </c>
      <c r="D7" s="95">
        <f t="shared" si="0"/>
        <v>4</v>
      </c>
      <c r="E7" s="94">
        <f t="shared" si="0"/>
        <v>5</v>
      </c>
      <c r="F7" s="95">
        <f t="shared" si="0"/>
        <v>6</v>
      </c>
      <c r="G7" s="96">
        <f t="shared" si="0"/>
        <v>7</v>
      </c>
      <c r="H7" s="97">
        <f t="shared" si="0"/>
        <v>8</v>
      </c>
      <c r="I7" s="97">
        <f t="shared" si="0"/>
        <v>9</v>
      </c>
      <c r="J7" s="98">
        <f t="shared" si="0"/>
        <v>10</v>
      </c>
      <c r="K7" s="99">
        <f t="shared" si="0"/>
        <v>11</v>
      </c>
      <c r="L7" s="100">
        <f t="shared" si="0"/>
        <v>12</v>
      </c>
      <c r="M7" s="94">
        <f t="shared" si="0"/>
        <v>13</v>
      </c>
      <c r="N7" s="97">
        <f t="shared" si="0"/>
        <v>14</v>
      </c>
      <c r="O7" s="97">
        <f t="shared" si="0"/>
        <v>15</v>
      </c>
      <c r="P7" s="97">
        <f t="shared" si="0"/>
        <v>16</v>
      </c>
      <c r="Q7" s="95">
        <f t="shared" si="0"/>
        <v>17</v>
      </c>
      <c r="R7" s="94">
        <f t="shared" si="0"/>
        <v>18</v>
      </c>
      <c r="S7" s="97">
        <f t="shared" si="0"/>
        <v>19</v>
      </c>
      <c r="T7" s="97">
        <f t="shared" si="0"/>
        <v>20</v>
      </c>
      <c r="U7" s="97">
        <f t="shared" si="0"/>
        <v>21</v>
      </c>
      <c r="V7" s="97">
        <f t="shared" si="0"/>
        <v>22</v>
      </c>
      <c r="W7" s="95">
        <f t="shared" si="0"/>
        <v>23</v>
      </c>
      <c r="X7" s="94">
        <f t="shared" si="0"/>
        <v>24</v>
      </c>
      <c r="Y7" s="97">
        <f t="shared" si="0"/>
        <v>25</v>
      </c>
      <c r="Z7" s="97">
        <f t="shared" si="0"/>
        <v>26</v>
      </c>
      <c r="AA7" s="97">
        <f t="shared" si="0"/>
        <v>27</v>
      </c>
      <c r="AB7" s="97">
        <f t="shared" si="0"/>
        <v>28</v>
      </c>
      <c r="AC7" s="95">
        <f t="shared" si="0"/>
        <v>29</v>
      </c>
      <c r="AD7" s="94">
        <f t="shared" si="0"/>
        <v>30</v>
      </c>
      <c r="AE7" s="97">
        <f t="shared" si="0"/>
        <v>31</v>
      </c>
      <c r="AF7" s="97">
        <f t="shared" si="0"/>
        <v>32</v>
      </c>
      <c r="AG7" s="97">
        <f t="shared" si="0"/>
        <v>33</v>
      </c>
      <c r="AH7" s="97">
        <f t="shared" ref="AH7:BM7" si="1">AG7+1</f>
        <v>34</v>
      </c>
      <c r="AI7" s="95">
        <f t="shared" si="1"/>
        <v>35</v>
      </c>
      <c r="AJ7" s="94">
        <f t="shared" si="1"/>
        <v>36</v>
      </c>
      <c r="AK7" s="97">
        <f t="shared" si="1"/>
        <v>37</v>
      </c>
      <c r="AL7" s="97">
        <f t="shared" si="1"/>
        <v>38</v>
      </c>
      <c r="AM7" s="97">
        <f t="shared" si="1"/>
        <v>39</v>
      </c>
      <c r="AN7" s="97">
        <f t="shared" si="1"/>
        <v>40</v>
      </c>
      <c r="AO7" s="95">
        <f t="shared" si="1"/>
        <v>41</v>
      </c>
      <c r="AP7" s="94">
        <f t="shared" si="1"/>
        <v>42</v>
      </c>
      <c r="AQ7" s="97">
        <f t="shared" si="1"/>
        <v>43</v>
      </c>
      <c r="AR7" s="97">
        <f t="shared" si="1"/>
        <v>44</v>
      </c>
      <c r="AS7" s="97">
        <f t="shared" si="1"/>
        <v>45</v>
      </c>
      <c r="AT7" s="97">
        <f t="shared" si="1"/>
        <v>46</v>
      </c>
      <c r="AU7" s="95">
        <f t="shared" si="1"/>
        <v>47</v>
      </c>
      <c r="AV7" s="94">
        <f t="shared" si="1"/>
        <v>48</v>
      </c>
      <c r="AW7" s="97">
        <f t="shared" si="1"/>
        <v>49</v>
      </c>
      <c r="AX7" s="97">
        <f t="shared" si="1"/>
        <v>50</v>
      </c>
      <c r="AY7" s="97">
        <f t="shared" si="1"/>
        <v>51</v>
      </c>
      <c r="AZ7" s="97">
        <f t="shared" si="1"/>
        <v>52</v>
      </c>
      <c r="BA7" s="95">
        <f t="shared" si="1"/>
        <v>53</v>
      </c>
      <c r="BB7" s="94">
        <f t="shared" si="1"/>
        <v>54</v>
      </c>
      <c r="BC7" s="97">
        <f t="shared" si="1"/>
        <v>55</v>
      </c>
      <c r="BD7" s="97">
        <f t="shared" si="1"/>
        <v>56</v>
      </c>
      <c r="BE7" s="97">
        <f t="shared" si="1"/>
        <v>57</v>
      </c>
      <c r="BF7" s="97">
        <f t="shared" si="1"/>
        <v>58</v>
      </c>
      <c r="BG7" s="95">
        <f t="shared" si="1"/>
        <v>59</v>
      </c>
      <c r="BH7" s="94">
        <f t="shared" si="1"/>
        <v>60</v>
      </c>
      <c r="BI7" s="97">
        <f t="shared" si="1"/>
        <v>61</v>
      </c>
      <c r="BJ7" s="97">
        <f t="shared" si="1"/>
        <v>62</v>
      </c>
      <c r="BK7" s="97">
        <f t="shared" si="1"/>
        <v>63</v>
      </c>
      <c r="BL7" s="97">
        <f t="shared" si="1"/>
        <v>64</v>
      </c>
      <c r="BM7" s="95">
        <f t="shared" si="1"/>
        <v>65</v>
      </c>
      <c r="BN7" s="94">
        <f t="shared" ref="BN7:CS7" si="2">BM7+1</f>
        <v>66</v>
      </c>
      <c r="BO7" s="97">
        <f t="shared" si="2"/>
        <v>67</v>
      </c>
      <c r="BP7" s="97">
        <f t="shared" si="2"/>
        <v>68</v>
      </c>
      <c r="BQ7" s="97">
        <f t="shared" si="2"/>
        <v>69</v>
      </c>
      <c r="BR7" s="97">
        <f t="shared" si="2"/>
        <v>70</v>
      </c>
      <c r="BS7" s="98">
        <f t="shared" si="2"/>
        <v>71</v>
      </c>
      <c r="BT7" s="94">
        <f t="shared" si="2"/>
        <v>72</v>
      </c>
      <c r="BU7" s="97">
        <f t="shared" si="2"/>
        <v>73</v>
      </c>
      <c r="BV7" s="97">
        <f t="shared" si="2"/>
        <v>74</v>
      </c>
      <c r="BW7" s="97">
        <f t="shared" si="2"/>
        <v>75</v>
      </c>
      <c r="BX7" s="97">
        <f t="shared" si="2"/>
        <v>76</v>
      </c>
      <c r="BY7" s="98">
        <f t="shared" si="2"/>
        <v>77</v>
      </c>
      <c r="BZ7" s="94">
        <f t="shared" si="2"/>
        <v>78</v>
      </c>
      <c r="CA7" s="97">
        <f t="shared" si="2"/>
        <v>79</v>
      </c>
      <c r="CB7" s="97">
        <f t="shared" si="2"/>
        <v>80</v>
      </c>
      <c r="CC7" s="97">
        <f t="shared" si="2"/>
        <v>81</v>
      </c>
      <c r="CD7" s="97">
        <f t="shared" si="2"/>
        <v>82</v>
      </c>
      <c r="CE7" s="98">
        <f t="shared" si="2"/>
        <v>83</v>
      </c>
      <c r="CF7" s="94">
        <f t="shared" si="2"/>
        <v>84</v>
      </c>
      <c r="CG7" s="97">
        <f t="shared" si="2"/>
        <v>85</v>
      </c>
      <c r="CH7" s="97">
        <f t="shared" si="2"/>
        <v>86</v>
      </c>
      <c r="CI7" s="97">
        <f t="shared" si="2"/>
        <v>87</v>
      </c>
      <c r="CJ7" s="97">
        <f t="shared" si="2"/>
        <v>88</v>
      </c>
      <c r="CK7" s="98">
        <f t="shared" si="2"/>
        <v>89</v>
      </c>
      <c r="CL7" s="94">
        <f t="shared" si="2"/>
        <v>90</v>
      </c>
      <c r="CM7" s="97">
        <f t="shared" si="2"/>
        <v>91</v>
      </c>
      <c r="CN7" s="97">
        <f t="shared" si="2"/>
        <v>92</v>
      </c>
      <c r="CO7" s="97">
        <f t="shared" si="2"/>
        <v>93</v>
      </c>
      <c r="CP7" s="97">
        <f t="shared" si="2"/>
        <v>94</v>
      </c>
      <c r="CQ7" s="98">
        <f t="shared" si="2"/>
        <v>95</v>
      </c>
      <c r="CR7" s="94">
        <f t="shared" si="2"/>
        <v>96</v>
      </c>
      <c r="CS7" s="97">
        <f t="shared" si="2"/>
        <v>97</v>
      </c>
      <c r="CT7" s="97">
        <f t="shared" ref="CT7:DY7" si="3">CS7+1</f>
        <v>98</v>
      </c>
      <c r="CU7" s="97">
        <f t="shared" si="3"/>
        <v>99</v>
      </c>
      <c r="CV7" s="97">
        <f t="shared" si="3"/>
        <v>100</v>
      </c>
      <c r="CW7" s="98">
        <f t="shared" si="3"/>
        <v>101</v>
      </c>
      <c r="CX7" s="94">
        <f t="shared" si="3"/>
        <v>102</v>
      </c>
      <c r="CY7" s="97">
        <f t="shared" si="3"/>
        <v>103</v>
      </c>
      <c r="CZ7" s="97">
        <f t="shared" si="3"/>
        <v>104</v>
      </c>
      <c r="DA7" s="97">
        <f t="shared" si="3"/>
        <v>105</v>
      </c>
      <c r="DB7" s="97">
        <f t="shared" si="3"/>
        <v>106</v>
      </c>
      <c r="DC7" s="98">
        <f t="shared" si="3"/>
        <v>107</v>
      </c>
      <c r="DD7" s="94">
        <f t="shared" si="3"/>
        <v>108</v>
      </c>
      <c r="DE7" s="97">
        <f t="shared" si="3"/>
        <v>109</v>
      </c>
      <c r="DF7" s="97">
        <f t="shared" si="3"/>
        <v>110</v>
      </c>
      <c r="DG7" s="97">
        <f t="shared" si="3"/>
        <v>111</v>
      </c>
      <c r="DH7" s="97">
        <f t="shared" si="3"/>
        <v>112</v>
      </c>
      <c r="DI7" s="98">
        <f t="shared" si="3"/>
        <v>113</v>
      </c>
      <c r="DJ7" s="94">
        <f t="shared" si="3"/>
        <v>114</v>
      </c>
      <c r="DK7" s="97">
        <f t="shared" si="3"/>
        <v>115</v>
      </c>
      <c r="DL7" s="97">
        <f t="shared" si="3"/>
        <v>116</v>
      </c>
      <c r="DM7" s="97">
        <f t="shared" si="3"/>
        <v>117</v>
      </c>
      <c r="DN7" s="97">
        <f t="shared" si="3"/>
        <v>118</v>
      </c>
      <c r="DO7" s="98">
        <f t="shared" si="3"/>
        <v>119</v>
      </c>
      <c r="DP7" s="94">
        <f t="shared" si="3"/>
        <v>120</v>
      </c>
      <c r="DQ7" s="97">
        <f t="shared" si="3"/>
        <v>121</v>
      </c>
      <c r="DR7" s="97">
        <f t="shared" si="3"/>
        <v>122</v>
      </c>
      <c r="DS7" s="97">
        <f t="shared" si="3"/>
        <v>123</v>
      </c>
      <c r="DT7" s="97">
        <f t="shared" si="3"/>
        <v>124</v>
      </c>
      <c r="DU7" s="98">
        <f t="shared" si="3"/>
        <v>125</v>
      </c>
      <c r="DV7" s="94">
        <f t="shared" si="3"/>
        <v>126</v>
      </c>
      <c r="DW7" s="97">
        <f t="shared" si="3"/>
        <v>127</v>
      </c>
      <c r="DX7" s="97">
        <f t="shared" si="3"/>
        <v>128</v>
      </c>
      <c r="DY7" s="97">
        <f t="shared" si="3"/>
        <v>129</v>
      </c>
      <c r="DZ7" s="97">
        <f t="shared" ref="DZ7:FE7" si="4">DY7+1</f>
        <v>130</v>
      </c>
      <c r="EA7" s="98">
        <f t="shared" si="4"/>
        <v>131</v>
      </c>
      <c r="EB7" s="94">
        <f t="shared" si="4"/>
        <v>132</v>
      </c>
      <c r="EC7" s="97">
        <f t="shared" si="4"/>
        <v>133</v>
      </c>
      <c r="ED7" s="97">
        <f t="shared" si="4"/>
        <v>134</v>
      </c>
      <c r="EE7" s="97">
        <f t="shared" si="4"/>
        <v>135</v>
      </c>
      <c r="EF7" s="97">
        <f t="shared" si="4"/>
        <v>136</v>
      </c>
      <c r="EG7" s="98">
        <f t="shared" si="4"/>
        <v>137</v>
      </c>
      <c r="EH7" s="94">
        <f t="shared" si="4"/>
        <v>138</v>
      </c>
      <c r="EI7" s="97">
        <f t="shared" si="4"/>
        <v>139</v>
      </c>
      <c r="EJ7" s="97">
        <f t="shared" si="4"/>
        <v>140</v>
      </c>
      <c r="EK7" s="97">
        <f t="shared" si="4"/>
        <v>141</v>
      </c>
      <c r="EL7" s="97">
        <f t="shared" si="4"/>
        <v>142</v>
      </c>
      <c r="EM7" s="98">
        <f t="shared" si="4"/>
        <v>143</v>
      </c>
      <c r="EN7" s="94">
        <f t="shared" si="4"/>
        <v>144</v>
      </c>
      <c r="EO7" s="97">
        <f t="shared" si="4"/>
        <v>145</v>
      </c>
      <c r="EP7" s="97">
        <f t="shared" si="4"/>
        <v>146</v>
      </c>
      <c r="EQ7" s="97">
        <f t="shared" si="4"/>
        <v>147</v>
      </c>
      <c r="ER7" s="97">
        <f t="shared" si="4"/>
        <v>148</v>
      </c>
      <c r="ES7" s="98">
        <f t="shared" si="4"/>
        <v>149</v>
      </c>
      <c r="ET7" s="94">
        <f t="shared" si="4"/>
        <v>150</v>
      </c>
      <c r="EU7" s="97">
        <f t="shared" si="4"/>
        <v>151</v>
      </c>
      <c r="EV7" s="97">
        <f t="shared" si="4"/>
        <v>152</v>
      </c>
      <c r="EW7" s="97">
        <f t="shared" si="4"/>
        <v>153</v>
      </c>
      <c r="EX7" s="97">
        <f t="shared" si="4"/>
        <v>154</v>
      </c>
      <c r="EY7" s="98">
        <f t="shared" si="4"/>
        <v>155</v>
      </c>
      <c r="EZ7" s="94">
        <f t="shared" si="4"/>
        <v>156</v>
      </c>
      <c r="FA7" s="97">
        <f t="shared" si="4"/>
        <v>157</v>
      </c>
      <c r="FB7" s="97">
        <f t="shared" si="4"/>
        <v>158</v>
      </c>
      <c r="FC7" s="97">
        <f t="shared" si="4"/>
        <v>159</v>
      </c>
      <c r="FD7" s="97">
        <f t="shared" si="4"/>
        <v>160</v>
      </c>
      <c r="FE7" s="98">
        <f t="shared" si="4"/>
        <v>161</v>
      </c>
      <c r="FF7" s="94">
        <f t="shared" ref="FF7:GM7" si="5">FE7+1</f>
        <v>162</v>
      </c>
      <c r="FG7" s="97">
        <f t="shared" si="5"/>
        <v>163</v>
      </c>
      <c r="FH7" s="97">
        <f t="shared" si="5"/>
        <v>164</v>
      </c>
      <c r="FI7" s="97">
        <f t="shared" si="5"/>
        <v>165</v>
      </c>
      <c r="FJ7" s="97">
        <f t="shared" si="5"/>
        <v>166</v>
      </c>
      <c r="FK7" s="98">
        <f t="shared" si="5"/>
        <v>167</v>
      </c>
      <c r="FL7" s="94">
        <f t="shared" si="5"/>
        <v>168</v>
      </c>
      <c r="FM7" s="97">
        <f t="shared" si="5"/>
        <v>169</v>
      </c>
      <c r="FN7" s="97">
        <f t="shared" si="5"/>
        <v>170</v>
      </c>
      <c r="FO7" s="97">
        <f t="shared" si="5"/>
        <v>171</v>
      </c>
      <c r="FP7" s="97">
        <f t="shared" si="5"/>
        <v>172</v>
      </c>
      <c r="FQ7" s="98">
        <f t="shared" si="5"/>
        <v>173</v>
      </c>
      <c r="FR7" s="94">
        <f t="shared" si="5"/>
        <v>174</v>
      </c>
      <c r="FS7" s="97">
        <f t="shared" si="5"/>
        <v>175</v>
      </c>
      <c r="FT7" s="97">
        <f t="shared" si="5"/>
        <v>176</v>
      </c>
      <c r="FU7" s="97">
        <f t="shared" si="5"/>
        <v>177</v>
      </c>
      <c r="FV7" s="97">
        <f t="shared" si="5"/>
        <v>178</v>
      </c>
      <c r="FW7" s="98">
        <f t="shared" si="5"/>
        <v>179</v>
      </c>
      <c r="FX7" s="94">
        <f t="shared" si="5"/>
        <v>180</v>
      </c>
      <c r="FY7" s="97">
        <f t="shared" si="5"/>
        <v>181</v>
      </c>
      <c r="FZ7" s="97">
        <f t="shared" si="5"/>
        <v>182</v>
      </c>
      <c r="GA7" s="97">
        <f t="shared" si="5"/>
        <v>183</v>
      </c>
      <c r="GB7" s="97">
        <f t="shared" si="5"/>
        <v>184</v>
      </c>
      <c r="GC7" s="98">
        <f t="shared" si="5"/>
        <v>185</v>
      </c>
      <c r="GD7" s="94">
        <f t="shared" si="5"/>
        <v>186</v>
      </c>
      <c r="GE7" s="97">
        <f t="shared" si="5"/>
        <v>187</v>
      </c>
      <c r="GF7" s="97">
        <f t="shared" si="5"/>
        <v>188</v>
      </c>
      <c r="GG7" s="97">
        <f t="shared" si="5"/>
        <v>189</v>
      </c>
      <c r="GH7" s="97">
        <f t="shared" si="5"/>
        <v>190</v>
      </c>
      <c r="GI7" s="98">
        <f t="shared" si="5"/>
        <v>191</v>
      </c>
      <c r="GJ7" s="100">
        <f t="shared" si="5"/>
        <v>192</v>
      </c>
      <c r="GK7" s="101">
        <f t="shared" si="5"/>
        <v>193</v>
      </c>
      <c r="GL7" s="102">
        <f t="shared" si="5"/>
        <v>194</v>
      </c>
      <c r="GM7" s="101">
        <f t="shared" si="5"/>
        <v>195</v>
      </c>
    </row>
    <row r="8" spans="1:195" s="115" customFormat="1" ht="15" x14ac:dyDescent="0.2">
      <c r="A8" s="104" t="s">
        <v>13</v>
      </c>
      <c r="B8" s="105" t="s">
        <v>15</v>
      </c>
      <c r="C8" s="106" t="s">
        <v>197</v>
      </c>
      <c r="D8" s="107" t="s">
        <v>15</v>
      </c>
      <c r="E8" s="106" t="s">
        <v>197</v>
      </c>
      <c r="F8" s="107" t="s">
        <v>15</v>
      </c>
      <c r="G8" s="9" t="s">
        <v>14</v>
      </c>
      <c r="H8" s="10" t="s">
        <v>15</v>
      </c>
      <c r="I8" s="10" t="s">
        <v>16</v>
      </c>
      <c r="J8" s="108" t="s">
        <v>198</v>
      </c>
      <c r="K8" s="109" t="s">
        <v>16</v>
      </c>
      <c r="L8" s="110" t="s">
        <v>15</v>
      </c>
      <c r="M8" s="106" t="s">
        <v>16</v>
      </c>
      <c r="N8" s="10" t="s">
        <v>16</v>
      </c>
      <c r="O8" s="10" t="s">
        <v>16</v>
      </c>
      <c r="P8" s="10" t="s">
        <v>15</v>
      </c>
      <c r="Q8" s="107" t="s">
        <v>15</v>
      </c>
      <c r="R8" s="106" t="s">
        <v>15</v>
      </c>
      <c r="S8" s="10" t="s">
        <v>16</v>
      </c>
      <c r="T8" s="10" t="s">
        <v>16</v>
      </c>
      <c r="U8" s="10" t="s">
        <v>16</v>
      </c>
      <c r="V8" s="10" t="s">
        <v>15</v>
      </c>
      <c r="W8" s="107" t="s">
        <v>15</v>
      </c>
      <c r="X8" s="106" t="s">
        <v>15</v>
      </c>
      <c r="Y8" s="10" t="s">
        <v>16</v>
      </c>
      <c r="Z8" s="10" t="s">
        <v>16</v>
      </c>
      <c r="AA8" s="10" t="s">
        <v>16</v>
      </c>
      <c r="AB8" s="10" t="s">
        <v>15</v>
      </c>
      <c r="AC8" s="107" t="s">
        <v>15</v>
      </c>
      <c r="AD8" s="106" t="s">
        <v>15</v>
      </c>
      <c r="AE8" s="10" t="s">
        <v>16</v>
      </c>
      <c r="AF8" s="10" t="s">
        <v>16</v>
      </c>
      <c r="AG8" s="10" t="s">
        <v>16</v>
      </c>
      <c r="AH8" s="10" t="s">
        <v>15</v>
      </c>
      <c r="AI8" s="107" t="s">
        <v>15</v>
      </c>
      <c r="AJ8" s="106" t="s">
        <v>15</v>
      </c>
      <c r="AK8" s="10" t="s">
        <v>16</v>
      </c>
      <c r="AL8" s="10" t="s">
        <v>16</v>
      </c>
      <c r="AM8" s="10" t="s">
        <v>16</v>
      </c>
      <c r="AN8" s="10" t="s">
        <v>15</v>
      </c>
      <c r="AO8" s="107" t="s">
        <v>15</v>
      </c>
      <c r="AP8" s="106" t="s">
        <v>15</v>
      </c>
      <c r="AQ8" s="10" t="s">
        <v>16</v>
      </c>
      <c r="AR8" s="10" t="s">
        <v>16</v>
      </c>
      <c r="AS8" s="10" t="s">
        <v>16</v>
      </c>
      <c r="AT8" s="10" t="s">
        <v>15</v>
      </c>
      <c r="AU8" s="107" t="s">
        <v>15</v>
      </c>
      <c r="AV8" s="106" t="s">
        <v>15</v>
      </c>
      <c r="AW8" s="10" t="s">
        <v>16</v>
      </c>
      <c r="AX8" s="10" t="s">
        <v>16</v>
      </c>
      <c r="AY8" s="10" t="s">
        <v>16</v>
      </c>
      <c r="AZ8" s="10" t="s">
        <v>15</v>
      </c>
      <c r="BA8" s="107" t="s">
        <v>15</v>
      </c>
      <c r="BB8" s="106" t="s">
        <v>15</v>
      </c>
      <c r="BC8" s="10" t="s">
        <v>16</v>
      </c>
      <c r="BD8" s="10" t="s">
        <v>16</v>
      </c>
      <c r="BE8" s="10" t="s">
        <v>16</v>
      </c>
      <c r="BF8" s="10" t="s">
        <v>15</v>
      </c>
      <c r="BG8" s="107" t="s">
        <v>15</v>
      </c>
      <c r="BH8" s="106" t="s">
        <v>15</v>
      </c>
      <c r="BI8" s="10" t="s">
        <v>16</v>
      </c>
      <c r="BJ8" s="10" t="s">
        <v>16</v>
      </c>
      <c r="BK8" s="10" t="s">
        <v>16</v>
      </c>
      <c r="BL8" s="10" t="s">
        <v>15</v>
      </c>
      <c r="BM8" s="107" t="s">
        <v>15</v>
      </c>
      <c r="BN8" s="106" t="s">
        <v>15</v>
      </c>
      <c r="BO8" s="10" t="s">
        <v>16</v>
      </c>
      <c r="BP8" s="10" t="s">
        <v>16</v>
      </c>
      <c r="BQ8" s="10" t="s">
        <v>16</v>
      </c>
      <c r="BR8" s="10" t="s">
        <v>15</v>
      </c>
      <c r="BS8" s="108" t="s">
        <v>15</v>
      </c>
      <c r="BT8" s="106" t="s">
        <v>15</v>
      </c>
      <c r="BU8" s="10" t="s">
        <v>16</v>
      </c>
      <c r="BV8" s="10" t="s">
        <v>16</v>
      </c>
      <c r="BW8" s="10" t="s">
        <v>16</v>
      </c>
      <c r="BX8" s="10" t="s">
        <v>15</v>
      </c>
      <c r="BY8" s="108" t="s">
        <v>15</v>
      </c>
      <c r="BZ8" s="106" t="s">
        <v>15</v>
      </c>
      <c r="CA8" s="10" t="s">
        <v>16</v>
      </c>
      <c r="CB8" s="10" t="s">
        <v>16</v>
      </c>
      <c r="CC8" s="10" t="s">
        <v>16</v>
      </c>
      <c r="CD8" s="10" t="s">
        <v>15</v>
      </c>
      <c r="CE8" s="108" t="s">
        <v>15</v>
      </c>
      <c r="CF8" s="106" t="s">
        <v>15</v>
      </c>
      <c r="CG8" s="10" t="s">
        <v>16</v>
      </c>
      <c r="CH8" s="10" t="s">
        <v>16</v>
      </c>
      <c r="CI8" s="10" t="s">
        <v>16</v>
      </c>
      <c r="CJ8" s="10" t="s">
        <v>15</v>
      </c>
      <c r="CK8" s="108" t="s">
        <v>15</v>
      </c>
      <c r="CL8" s="106" t="s">
        <v>15</v>
      </c>
      <c r="CM8" s="10" t="s">
        <v>16</v>
      </c>
      <c r="CN8" s="10" t="s">
        <v>16</v>
      </c>
      <c r="CO8" s="10" t="s">
        <v>16</v>
      </c>
      <c r="CP8" s="10" t="s">
        <v>15</v>
      </c>
      <c r="CQ8" s="108" t="s">
        <v>15</v>
      </c>
      <c r="CR8" s="106" t="s">
        <v>15</v>
      </c>
      <c r="CS8" s="10" t="s">
        <v>16</v>
      </c>
      <c r="CT8" s="10" t="s">
        <v>16</v>
      </c>
      <c r="CU8" s="10" t="s">
        <v>16</v>
      </c>
      <c r="CV8" s="10" t="s">
        <v>15</v>
      </c>
      <c r="CW8" s="108" t="s">
        <v>15</v>
      </c>
      <c r="CX8" s="106" t="s">
        <v>15</v>
      </c>
      <c r="CY8" s="10" t="s">
        <v>16</v>
      </c>
      <c r="CZ8" s="10" t="s">
        <v>16</v>
      </c>
      <c r="DA8" s="10" t="s">
        <v>16</v>
      </c>
      <c r="DB8" s="10" t="s">
        <v>15</v>
      </c>
      <c r="DC8" s="108" t="s">
        <v>15</v>
      </c>
      <c r="DD8" s="106" t="s">
        <v>15</v>
      </c>
      <c r="DE8" s="10" t="s">
        <v>16</v>
      </c>
      <c r="DF8" s="10" t="s">
        <v>16</v>
      </c>
      <c r="DG8" s="10" t="s">
        <v>16</v>
      </c>
      <c r="DH8" s="10" t="s">
        <v>15</v>
      </c>
      <c r="DI8" s="108" t="s">
        <v>15</v>
      </c>
      <c r="DJ8" s="106" t="s">
        <v>15</v>
      </c>
      <c r="DK8" s="10" t="s">
        <v>16</v>
      </c>
      <c r="DL8" s="10" t="s">
        <v>16</v>
      </c>
      <c r="DM8" s="10" t="s">
        <v>16</v>
      </c>
      <c r="DN8" s="10" t="s">
        <v>15</v>
      </c>
      <c r="DO8" s="108" t="s">
        <v>15</v>
      </c>
      <c r="DP8" s="106" t="s">
        <v>15</v>
      </c>
      <c r="DQ8" s="10" t="s">
        <v>16</v>
      </c>
      <c r="DR8" s="10" t="s">
        <v>16</v>
      </c>
      <c r="DS8" s="10" t="s">
        <v>16</v>
      </c>
      <c r="DT8" s="10" t="s">
        <v>15</v>
      </c>
      <c r="DU8" s="108" t="s">
        <v>15</v>
      </c>
      <c r="DV8" s="106" t="s">
        <v>15</v>
      </c>
      <c r="DW8" s="10" t="s">
        <v>16</v>
      </c>
      <c r="DX8" s="10" t="s">
        <v>16</v>
      </c>
      <c r="DY8" s="10" t="s">
        <v>16</v>
      </c>
      <c r="DZ8" s="111" t="s">
        <v>15</v>
      </c>
      <c r="EA8" s="108" t="s">
        <v>15</v>
      </c>
      <c r="EB8" s="106" t="s">
        <v>15</v>
      </c>
      <c r="EC8" s="10" t="s">
        <v>16</v>
      </c>
      <c r="ED8" s="10" t="s">
        <v>16</v>
      </c>
      <c r="EE8" s="10" t="s">
        <v>16</v>
      </c>
      <c r="EF8" s="111" t="s">
        <v>15</v>
      </c>
      <c r="EG8" s="108" t="s">
        <v>15</v>
      </c>
      <c r="EH8" s="106" t="s">
        <v>15</v>
      </c>
      <c r="EI8" s="10" t="s">
        <v>16</v>
      </c>
      <c r="EJ8" s="10" t="s">
        <v>16</v>
      </c>
      <c r="EK8" s="10" t="s">
        <v>16</v>
      </c>
      <c r="EL8" s="111" t="s">
        <v>15</v>
      </c>
      <c r="EM8" s="108" t="s">
        <v>15</v>
      </c>
      <c r="EN8" s="12" t="s">
        <v>15</v>
      </c>
      <c r="EO8" s="13" t="s">
        <v>16</v>
      </c>
      <c r="EP8" s="13" t="s">
        <v>16</v>
      </c>
      <c r="EQ8" s="13" t="s">
        <v>16</v>
      </c>
      <c r="ER8" s="13" t="s">
        <v>15</v>
      </c>
      <c r="ES8" s="14" t="s">
        <v>15</v>
      </c>
      <c r="ET8" s="106" t="s">
        <v>15</v>
      </c>
      <c r="EU8" s="10" t="s">
        <v>16</v>
      </c>
      <c r="EV8" s="10" t="s">
        <v>16</v>
      </c>
      <c r="EW8" s="10" t="s">
        <v>16</v>
      </c>
      <c r="EX8" s="111" t="s">
        <v>15</v>
      </c>
      <c r="EY8" s="108" t="s">
        <v>15</v>
      </c>
      <c r="EZ8" s="106" t="s">
        <v>15</v>
      </c>
      <c r="FA8" s="10" t="s">
        <v>16</v>
      </c>
      <c r="FB8" s="10" t="s">
        <v>16</v>
      </c>
      <c r="FC8" s="10" t="s">
        <v>16</v>
      </c>
      <c r="FD8" s="111" t="s">
        <v>15</v>
      </c>
      <c r="FE8" s="108" t="s">
        <v>15</v>
      </c>
      <c r="FF8" s="106" t="s">
        <v>15</v>
      </c>
      <c r="FG8" s="10" t="s">
        <v>16</v>
      </c>
      <c r="FH8" s="10" t="s">
        <v>16</v>
      </c>
      <c r="FI8" s="10" t="s">
        <v>16</v>
      </c>
      <c r="FJ8" s="111" t="s">
        <v>15</v>
      </c>
      <c r="FK8" s="108" t="s">
        <v>15</v>
      </c>
      <c r="FL8" s="106" t="s">
        <v>15</v>
      </c>
      <c r="FM8" s="10" t="s">
        <v>16</v>
      </c>
      <c r="FN8" s="10" t="s">
        <v>16</v>
      </c>
      <c r="FO8" s="10" t="s">
        <v>16</v>
      </c>
      <c r="FP8" s="111" t="s">
        <v>15</v>
      </c>
      <c r="FQ8" s="108" t="s">
        <v>15</v>
      </c>
      <c r="FR8" s="106" t="s">
        <v>15</v>
      </c>
      <c r="FS8" s="10" t="s">
        <v>16</v>
      </c>
      <c r="FT8" s="10" t="s">
        <v>16</v>
      </c>
      <c r="FU8" s="10" t="s">
        <v>16</v>
      </c>
      <c r="FV8" s="111" t="s">
        <v>15</v>
      </c>
      <c r="FW8" s="108" t="s">
        <v>15</v>
      </c>
      <c r="FX8" s="106" t="s">
        <v>15</v>
      </c>
      <c r="FY8" s="10" t="s">
        <v>16</v>
      </c>
      <c r="FZ8" s="10" t="s">
        <v>16</v>
      </c>
      <c r="GA8" s="10" t="s">
        <v>16</v>
      </c>
      <c r="GB8" s="111" t="s">
        <v>15</v>
      </c>
      <c r="GC8" s="108" t="s">
        <v>15</v>
      </c>
      <c r="GD8" s="106" t="s">
        <v>15</v>
      </c>
      <c r="GE8" s="10" t="s">
        <v>16</v>
      </c>
      <c r="GF8" s="10" t="s">
        <v>16</v>
      </c>
      <c r="GG8" s="10" t="s">
        <v>16</v>
      </c>
      <c r="GH8" s="111" t="s">
        <v>15</v>
      </c>
      <c r="GI8" s="108" t="s">
        <v>15</v>
      </c>
      <c r="GJ8" s="112" t="s">
        <v>15</v>
      </c>
      <c r="GK8" s="113" t="s">
        <v>15</v>
      </c>
      <c r="GL8" s="114" t="s">
        <v>16</v>
      </c>
      <c r="GM8" s="113" t="s">
        <v>15</v>
      </c>
    </row>
    <row r="9" spans="1:195" s="20" customFormat="1" x14ac:dyDescent="0.25">
      <c r="A9" s="116" t="s">
        <v>18</v>
      </c>
      <c r="B9" s="117" t="s">
        <v>199</v>
      </c>
      <c r="C9" s="117" t="s">
        <v>199</v>
      </c>
      <c r="D9" s="117" t="s">
        <v>199</v>
      </c>
      <c r="E9" s="117" t="s">
        <v>199</v>
      </c>
      <c r="F9" s="117" t="s">
        <v>199</v>
      </c>
      <c r="G9" s="118">
        <f>'Исходные данные'!C11</f>
        <v>686</v>
      </c>
      <c r="H9" s="119">
        <f>'Исходные данные'!D11</f>
        <v>757421</v>
      </c>
      <c r="I9" s="120">
        <f>'Расчет КРП'!G7</f>
        <v>16.299709834100799</v>
      </c>
      <c r="J9" s="121" t="s">
        <v>199</v>
      </c>
      <c r="K9" s="122">
        <f t="shared" ref="K9:K19" si="6">((H9/G9)/($H$33/$G$33))/I9</f>
        <v>6.0258238222154953E-2</v>
      </c>
      <c r="L9" s="123">
        <f t="shared" ref="L9:L32" si="7">$D$33*G9/$G$33</f>
        <v>145123.80416733969</v>
      </c>
      <c r="M9" s="124">
        <f t="shared" ref="M9:M19" si="8">(((H9+L9)/G9)/$J$33)/I9</f>
        <v>7.1803871051480936E-2</v>
      </c>
      <c r="N9" s="125" t="s">
        <v>199</v>
      </c>
      <c r="O9" s="126">
        <f t="shared" ref="O9:O19" si="9">$N$33-M9</f>
        <v>0.10189955776654418</v>
      </c>
      <c r="P9" s="127">
        <f t="shared" ref="P9:P32" si="10">IF(O9&gt;0,G9*I9*(($H$33+$L$33)/$G$33)*O9,0)</f>
        <v>1521876.0207584905</v>
      </c>
      <c r="Q9" s="128">
        <f t="shared" ref="Q9:Q32" si="11">IF(($F$33-P$33)&gt;0,P9,$F$33*P9/P$33)</f>
        <v>1521876.0207584905</v>
      </c>
      <c r="R9" s="129" t="s">
        <v>199</v>
      </c>
      <c r="S9" s="130" t="s">
        <v>199</v>
      </c>
      <c r="T9" s="131">
        <f t="shared" ref="T9:T19" si="12">(((H9+L9+Q9)/G9)/$J$33)/I9</f>
        <v>0.19287995397425484</v>
      </c>
      <c r="U9" s="132">
        <f t="shared" ref="U9:U19" si="13">S$33-T9</f>
        <v>6.718572262961392E-2</v>
      </c>
      <c r="V9" s="133">
        <f t="shared" ref="V9:V32" si="14">IF(U9&gt;0,$G9*$I9*(($H$33+$L$33+$Q$33)/$G$33)*U9,0)</f>
        <v>1828587.4728138561</v>
      </c>
      <c r="W9" s="134">
        <f t="shared" ref="W9:W32" si="15">IF((R$33-V$33)&gt;0,V9,R$33*V9/V$33)</f>
        <v>844916.01302420662</v>
      </c>
      <c r="X9" s="135" t="s">
        <v>199</v>
      </c>
      <c r="Y9" s="130" t="s">
        <v>199</v>
      </c>
      <c r="Z9" s="131">
        <f t="shared" ref="Z9:Z19" si="16">(((H9+L9+Q9+W9)/G9)/$J$33)/I9</f>
        <v>0.2600990440054608</v>
      </c>
      <c r="AA9" s="132">
        <f t="shared" ref="AA9:AA19" si="17">Y$33-Z9</f>
        <v>6.165844989087732E-2</v>
      </c>
      <c r="AB9" s="133">
        <f t="shared" ref="AB9:AB19" si="18">IF(AA9&gt;0,$G9*$I9*(($H$33+$L$33+$Q$33+$W$33)/$G$33)*AA9,0)</f>
        <v>2233536.8497066349</v>
      </c>
      <c r="AC9" s="134">
        <f t="shared" ref="AC9:AC32" si="19">IF((X$33-AB$33)&gt;0,AB9,X$33*AB9/AB$33)</f>
        <v>0</v>
      </c>
      <c r="AD9" s="135" t="s">
        <v>199</v>
      </c>
      <c r="AE9" s="130" t="s">
        <v>199</v>
      </c>
      <c r="AF9" s="131">
        <f t="shared" ref="AF9:AF19" si="20">(((H9+L9+Q9+W9+AC9)/G9)/$J$33)/I9</f>
        <v>0.2600990440054608</v>
      </c>
      <c r="AG9" s="132">
        <f t="shared" ref="AG9:AG19" si="21">AE$33-AF9</f>
        <v>6.165844989087732E-2</v>
      </c>
      <c r="AH9" s="133">
        <f t="shared" ref="AH9:AH19" si="22">IF(AG9&gt;0,$G9*$I9*(($H$33+$L$33+$Q$33+$W$33+$AC$33)/$G$33)*AG9,0)</f>
        <v>2233536.8497066349</v>
      </c>
      <c r="AI9" s="134">
        <f t="shared" ref="AI9:AI32" si="23">IF((AD$33-AH$33)&gt;0,AH9,AD$33*AH9/AH$33)</f>
        <v>0</v>
      </c>
      <c r="AJ9" s="135" t="s">
        <v>199</v>
      </c>
      <c r="AK9" s="130" t="s">
        <v>199</v>
      </c>
      <c r="AL9" s="131">
        <f t="shared" ref="AL9:AL19" si="24">(((H9+L9+Q9+W9+AC9+AI9)/G9)/$J$33)/I9</f>
        <v>0.2600990440054608</v>
      </c>
      <c r="AM9" s="132">
        <f t="shared" ref="AM9:AM19" si="25">AK$33-AL9</f>
        <v>6.165844989087732E-2</v>
      </c>
      <c r="AN9" s="133">
        <f t="shared" ref="AN9:AN19" si="26">IF(AM9&gt;0,$G9*$I9*(($H$33+$L$33+$Q$33+$W$33+$AC$33+$AI$33)/$G$33)*AM9,0)</f>
        <v>2233536.8497066349</v>
      </c>
      <c r="AO9" s="134">
        <f t="shared" ref="AO9:AO32" si="27">IF((AJ$33-AN$33)&gt;0,AN9,AJ$33*AN9/AN$33)</f>
        <v>0</v>
      </c>
      <c r="AP9" s="135" t="s">
        <v>199</v>
      </c>
      <c r="AQ9" s="130" t="s">
        <v>199</v>
      </c>
      <c r="AR9" s="131">
        <f t="shared" ref="AR9:AR19" si="28">(((H9+L9+Q9+W9+AC9+AI9+AO9)/G9)/$J$33)/I9</f>
        <v>0.2600990440054608</v>
      </c>
      <c r="AS9" s="132">
        <f t="shared" ref="AS9:AS19" si="29">AQ$33-AR9</f>
        <v>6.165844989087732E-2</v>
      </c>
      <c r="AT9" s="133">
        <f t="shared" ref="AT9:AT19" si="30">IF(AS9&gt;0,$G9*$I9*(($H$33+$L$33+$Q$33+$W$33+$AC$33+$AI$33+$AO$33)/$G$33)*AS9,0)</f>
        <v>2233536.8497066349</v>
      </c>
      <c r="AU9" s="134">
        <f t="shared" ref="AU9:AU32" si="31">IF((AP$33-AT$33)&gt;0,AT9,AP$33*AT9/AT$33)</f>
        <v>0</v>
      </c>
      <c r="AV9" s="135" t="s">
        <v>199</v>
      </c>
      <c r="AW9" s="130" t="s">
        <v>199</v>
      </c>
      <c r="AX9" s="131">
        <f t="shared" ref="AX9:AX19" si="32">(((H9+L9+Q9+W9+AC9+AI9+AO9+AU9)/G9)/$J$33)/I9</f>
        <v>0.2600990440054608</v>
      </c>
      <c r="AY9" s="132">
        <f t="shared" ref="AY9:AY19" si="33">AW$33-AX9</f>
        <v>6.165844989087732E-2</v>
      </c>
      <c r="AZ9" s="133">
        <f t="shared" ref="AZ9:AZ19" si="34">IF(AY9&gt;0,$G9*$I9*(($H$33+$L$33+$Q$33+$W$33+$AC$33+$AI$33+$AO$33+$AU$33)/$G$33)*AY9,0)</f>
        <v>2233536.8497066349</v>
      </c>
      <c r="BA9" s="134">
        <f t="shared" ref="BA9:BA32" si="35">IF((AV$33-AZ$33)&gt;0,AZ9,AV$33*AZ9/AZ$33)</f>
        <v>0</v>
      </c>
      <c r="BB9" s="135" t="s">
        <v>199</v>
      </c>
      <c r="BC9" s="130" t="s">
        <v>199</v>
      </c>
      <c r="BD9" s="131">
        <f t="shared" ref="BD9:BD19" si="36">(((H9+L9+Q9+W9+AC9+AI9+AO9+AU9+BA9)/G9)/$J$33)/I9</f>
        <v>0.2600990440054608</v>
      </c>
      <c r="BE9" s="132">
        <f t="shared" ref="BE9:BE19" si="37">BC$33-BD9</f>
        <v>6.165844989087732E-2</v>
      </c>
      <c r="BF9" s="133">
        <f t="shared" ref="BF9:BF19" si="38">IF(BE9&gt;0,$G9*$I9*(($H$33+$L$33+$Q$33+$W$33+$AC$33+$AI$33+$AO$33+$AU$33+$BA$33)/$G$33)*BE9,0)</f>
        <v>2233536.8497066349</v>
      </c>
      <c r="BG9" s="134">
        <f t="shared" ref="BG9:BG32" si="39">IF((BB$33-BF$33)&gt;0,BF9,BB$33*BF9/BF$33)</f>
        <v>0</v>
      </c>
      <c r="BH9" s="135" t="s">
        <v>199</v>
      </c>
      <c r="BI9" s="130" t="s">
        <v>199</v>
      </c>
      <c r="BJ9" s="131">
        <f t="shared" ref="BJ9:BJ19" si="40">(((H9+L9+Q9+W9+AC9+AI9+AO9+AU9+BA9+BG9)/G9)/$J$33)/I9</f>
        <v>0.2600990440054608</v>
      </c>
      <c r="BK9" s="132">
        <f t="shared" ref="BK9:BK19" si="41">BI$33-BJ9</f>
        <v>6.165844989087732E-2</v>
      </c>
      <c r="BL9" s="133">
        <f t="shared" ref="BL9:BL19" si="42">IF(BK9&gt;0,$G9*$I9*(($H$33+$L$33+$Q$33+$W$33+$AC$33+$AI$33+$AO$33+$AU$33+$BA$33+$BG$33)/$G$33)*BK9,0)</f>
        <v>2233536.8497066349</v>
      </c>
      <c r="BM9" s="134">
        <f t="shared" ref="BM9:BM32" si="43">IF((BH$33-BL$33)&gt;0,BL9,BH$33*BL9/BL$33)</f>
        <v>0</v>
      </c>
      <c r="BN9" s="135" t="s">
        <v>199</v>
      </c>
      <c r="BO9" s="130" t="s">
        <v>199</v>
      </c>
      <c r="BP9" s="131">
        <f t="shared" ref="BP9:BP19" si="44">(((H9+L9+Q9+W9+AC9+AI9+AO9+AU9+BA9+BG9+BM9)/G9)/$J$33)/I9</f>
        <v>0.2600990440054608</v>
      </c>
      <c r="BQ9" s="132">
        <f t="shared" ref="BQ9:BQ19" si="45">BO$33-BP9</f>
        <v>6.165844989087732E-2</v>
      </c>
      <c r="BR9" s="133">
        <f t="shared" ref="BR9:BR19" si="46">IF(BQ9&gt;0,$G9*$I9*(($H$33+$L$33+$Q$33+$W$33+$AC$33+$AI$33+$AO$33+$AU$33+$BA$33+$BG$33+$BM$33)/$G$33)*BQ9,0)</f>
        <v>2233536.8497066349</v>
      </c>
      <c r="BS9" s="136">
        <f t="shared" ref="BS9:BS32" si="47">IF((BN$33-BR$33)&gt;0,BR9,BN$33*BR9/BR$33)</f>
        <v>0</v>
      </c>
      <c r="BT9" s="135" t="s">
        <v>199</v>
      </c>
      <c r="BU9" s="130" t="s">
        <v>199</v>
      </c>
      <c r="BV9" s="131">
        <f t="shared" ref="BV9:BV19" si="48">(((H9+L9+Q9+W9+AC9+AI9+AO9+AU9+BA9+BG9+BM9+BS9)/G9)/$J$33)/I9</f>
        <v>0.2600990440054608</v>
      </c>
      <c r="BW9" s="132">
        <f t="shared" ref="BW9:BW19" si="49">BU$33-BV9</f>
        <v>6.165844989087732E-2</v>
      </c>
      <c r="BX9" s="133">
        <f t="shared" ref="BX9:BX19" si="50">IF(BW9&gt;0,$G9*$I9*(($H$33+$L$33+$Q$33+$W$33+$AC$33+$AI$33+$AO$33+$AU$33+$BA$33+$BG$33+$BM$33+$BS$33)/$G$33)*BW9,0)</f>
        <v>2233536.8497066349</v>
      </c>
      <c r="BY9" s="136">
        <f t="shared" ref="BY9:BY32" si="51">IF((BT$33-BX$33)&gt;0,BX9,BT$33*BX9/BX$33)</f>
        <v>0</v>
      </c>
      <c r="BZ9" s="135" t="s">
        <v>199</v>
      </c>
      <c r="CA9" s="130" t="s">
        <v>199</v>
      </c>
      <c r="CB9" s="131">
        <f t="shared" ref="CB9:CB19" si="52">(((H9+L9+Q9+W9+AC9+AI9+AO9+AU9+BA9+BG9+BM9+BS9+BY9)/G9)/$J$33)/I9</f>
        <v>0.2600990440054608</v>
      </c>
      <c r="CC9" s="132">
        <f t="shared" ref="CC9:CC19" si="53">CA$33-CB9</f>
        <v>6.165844989087732E-2</v>
      </c>
      <c r="CD9" s="133">
        <f t="shared" ref="CD9:CD19" si="54">IF(CC9&gt;0,$G9*$I9*(($H$33+$L$33+$Q$33+$W$33+$AC$33+$AI$33+$AO$33+$AU$33+$BA$33+$BG$33+$BM$33+$BS$33+$BY$33)/$G$33)*CC9,0)</f>
        <v>2233536.8497066349</v>
      </c>
      <c r="CE9" s="136">
        <f t="shared" ref="CE9:CE32" si="55">IF((BZ$33-CD$33)&gt;0,CD9,BZ$33*CD9/CD$33)</f>
        <v>0</v>
      </c>
      <c r="CF9" s="135" t="s">
        <v>199</v>
      </c>
      <c r="CG9" s="130" t="s">
        <v>199</v>
      </c>
      <c r="CH9" s="131">
        <f t="shared" ref="CH9:CH19" si="56">(((H9+L9+Q9+W9+AC9+AI9+AO9+AU9+BA9+BG9+BM9+BS9+BY9+CE9)/G9)/$J$33)/I9</f>
        <v>0.2600990440054608</v>
      </c>
      <c r="CI9" s="132">
        <f t="shared" ref="CI9:CI19" si="57">CG$33-CH9</f>
        <v>6.165844989087732E-2</v>
      </c>
      <c r="CJ9" s="133">
        <f t="shared" ref="CJ9:CJ19" si="58">IF(CI9&gt;0,$G9*$I9*(($H$33+$L$33+$Q$33+$W$33+$AC$33+$AI$33+$AO$33+$AU$33+$BA$33+$BG$33+$BM$33+$BS$33+$BY$33+$CE$33)/$G$33)*CI9,0)</f>
        <v>2233536.8497066349</v>
      </c>
      <c r="CK9" s="136">
        <f t="shared" ref="CK9:CK32" si="59">IF((CF$33-CJ$33)&gt;0,CJ9,CF$33*CJ9/CJ$33)</f>
        <v>0</v>
      </c>
      <c r="CL9" s="135" t="s">
        <v>199</v>
      </c>
      <c r="CM9" s="130" t="s">
        <v>199</v>
      </c>
      <c r="CN9" s="131">
        <f t="shared" ref="CN9:CN19" si="60">(((H9+L9+Q9+W9+AC9+AI9+AO9+AU9+BA9+BG9+BM9+BS9+BY9+CE9+CK9)/G9)/$J$33)/I9</f>
        <v>0.2600990440054608</v>
      </c>
      <c r="CO9" s="132">
        <f t="shared" ref="CO9:CO19" si="61">CM$33-CN9</f>
        <v>6.165844989087732E-2</v>
      </c>
      <c r="CP9" s="133">
        <f t="shared" ref="CP9:CP19" si="62">IF(CO9&gt;0,$G9*$I9*(($H$33+$L$33+$Q$33+$W$33+$AC$33+$AI$33+$AO$33+$AU$33+$BA$33+$BG$33+$BM$33+$BS$33+$BY$33+$CE$33+$CK$33)/$G$33)*CO9,0)</f>
        <v>2233536.8497066349</v>
      </c>
      <c r="CQ9" s="136">
        <f t="shared" ref="CQ9:CQ32" si="63">IF((CL$33-CP$33)&gt;0,CP9,CL$33*CP9/CP$33)</f>
        <v>0</v>
      </c>
      <c r="CR9" s="135" t="s">
        <v>199</v>
      </c>
      <c r="CS9" s="130" t="s">
        <v>199</v>
      </c>
      <c r="CT9" s="131">
        <f t="shared" ref="CT9:CT19" si="64">(((H9+L9+Q9+W9+AC9+AI9+AO9+AU9+BA9+BG9+BM9+BS9+BY9+CE9+CK9+CQ9)/G9)/$J$33)/I9</f>
        <v>0.2600990440054608</v>
      </c>
      <c r="CU9" s="132">
        <f t="shared" ref="CU9:CU19" si="65">CS$33-CT9</f>
        <v>6.165844989087732E-2</v>
      </c>
      <c r="CV9" s="133">
        <f t="shared" ref="CV9:CV19" si="66">IF(CU9&gt;0,$G9*$I9*(($H$33+$L$33+$Q$33+$W$33+$AC$33+$AI$33+$AO$33+$AU$33+$BA$33+$BG$33+$BM$33+$BS$33+$BY$33+$CE$33+$CK$33+$CQ$33)/$G$33)*CU9,0)</f>
        <v>2233536.8497066349</v>
      </c>
      <c r="CW9" s="136">
        <f t="shared" ref="CW9:CW32" si="67">IF((CR$33-CV$33)&gt;0,CV9,CR$33*CV9/CV$33)</f>
        <v>0</v>
      </c>
      <c r="CX9" s="135" t="s">
        <v>199</v>
      </c>
      <c r="CY9" s="130" t="s">
        <v>199</v>
      </c>
      <c r="CZ9" s="131">
        <f t="shared" ref="CZ9:CZ19" si="68">(((H9+L9+Q9+W9+AC9+AI9+AO9+AU9+BA9+BG9+BM9+BS9+BY9+CE9+CK9+CQ9+CW9)/G9)/$J$33)/I9</f>
        <v>0.2600990440054608</v>
      </c>
      <c r="DA9" s="132">
        <f t="shared" ref="DA9:DA19" si="69">CY$33-CZ9</f>
        <v>6.165844989087732E-2</v>
      </c>
      <c r="DB9" s="133">
        <f t="shared" ref="DB9:DB19" si="70">IF(DA9&gt;0,$G9*$I9*(($H$33+$L$33+$Q$33+$W$33+$AC$33+$AI$33+$AO$33+$AU$33+$BA$33+$BG$33+$BM$33+$BS$33+$BY$33+$CE$33+$CK$33+$CQ$33+$CW$33)/$G$33)*DA9,0)</f>
        <v>2233536.8497066349</v>
      </c>
      <c r="DC9" s="136">
        <f t="shared" ref="DC9:DC32" si="71">IF((CX$33-DB$33)&gt;0,DB9,CX$33*DB9/DB$33)</f>
        <v>0</v>
      </c>
      <c r="DD9" s="135" t="s">
        <v>199</v>
      </c>
      <c r="DE9" s="130" t="s">
        <v>199</v>
      </c>
      <c r="DF9" s="131">
        <f t="shared" ref="DF9:DF19" si="72">(((H9+L9+Q9+W9+AC9+AI9+AO9+AU9+BA9+BG9+BM9+BS9+BY9+CE9+CK9+CQ9+CW9+DC9)/G9)/$J$33)/I9</f>
        <v>0.2600990440054608</v>
      </c>
      <c r="DG9" s="132">
        <f t="shared" ref="DG9:DG19" si="73">DE$33-DF9</f>
        <v>6.165844989087732E-2</v>
      </c>
      <c r="DH9" s="133">
        <f t="shared" ref="DH9:DH19" si="74">IF(DG9&gt;0,$G9*$I9*(($H$33+$L$33+$Q$33+$W$33+$AC$33+$AI$33+$AO$33+$AU$33+$BA$33+$BG$33+$BM$33+$BS$33+$BY$33+$CE$33+$CK$33+$CQ$33+$CW$33+$DC$33)/$G$33)*DG9,0)</f>
        <v>2233536.8497066349</v>
      </c>
      <c r="DI9" s="136">
        <f t="shared" ref="DI9:DI32" si="75">IF((DD$33-DH$33)&gt;0,DH9,DD$33*DH9/DH$33)</f>
        <v>0</v>
      </c>
      <c r="DJ9" s="135" t="s">
        <v>199</v>
      </c>
      <c r="DK9" s="130" t="s">
        <v>199</v>
      </c>
      <c r="DL9" s="131">
        <f t="shared" ref="DL9:DL19" si="76">(((H9+L9+Q9+W9+AC9+AI9+AO9+AU9+BA9+BG9+BM9+BS9+BY9+CE9+CK9+CQ9+CW9+DC9+DI9)/G9)/$J$33)/I9</f>
        <v>0.2600990440054608</v>
      </c>
      <c r="DM9" s="132">
        <f t="shared" ref="DM9:DM19" si="77">DK$33-DL9</f>
        <v>6.165844989087732E-2</v>
      </c>
      <c r="DN9" s="133">
        <f t="shared" ref="DN9:DN19" si="78">IF(DM9&gt;0,$G9*$I9*(($H$33+$L$33+$Q$33+$W$33+$AC$33+$AI$33+$AO$33+$AU$33+$BA$33+$BG$33+$BM$33+$BS$33+$BY$33+$CE$33+$CK$33+$CQ$33+$CW$33+$DC$33+$DI$33)/$G$33)*DM9,0)</f>
        <v>2233536.8497066349</v>
      </c>
      <c r="DO9" s="136">
        <f t="shared" ref="DO9:DO32" si="79">IF((DJ$33-DN$33)&gt;0,DN9,DJ$33*DN9/DN$33)</f>
        <v>0</v>
      </c>
      <c r="DP9" s="135" t="s">
        <v>199</v>
      </c>
      <c r="DQ9" s="130" t="s">
        <v>199</v>
      </c>
      <c r="DR9" s="131">
        <f t="shared" ref="DR9:DR19" si="80">(((H9+L9+Q9+W9+AC9+AI9+AO9+AU9+BA9+BG9+BM9+BS9+BY9+CE9+CK9+CQ9+CW9+DC9+DI9+DO9)/G9)/$J$33)/I9</f>
        <v>0.2600990440054608</v>
      </c>
      <c r="DS9" s="132">
        <f t="shared" ref="DS9:DS19" si="81">DQ$33-DR9</f>
        <v>6.165844989087732E-2</v>
      </c>
      <c r="DT9" s="133">
        <f t="shared" ref="DT9:DT19" si="82">IF(DS9&gt;0,$G9*$I9*(($H$33+$L$33+$Q$33+$W$33+$AC$33+$AI$33+$AO$33+$AU$33+$BA$33+$BG$33+$BM$33+$BS$33+$BY$33+$CE$33+$CK$33+$CQ$33+$CW$33+$DC$33+$DI$33+$DO$33)/$G$33)*DS9,0)</f>
        <v>2233536.8497066349</v>
      </c>
      <c r="DU9" s="136">
        <f t="shared" ref="DU9:DU32" si="83">IF((DP$33-DT$33)&gt;0,DT9,DP$33*DT9/DT$33)</f>
        <v>0</v>
      </c>
      <c r="DV9" s="15" t="s">
        <v>199</v>
      </c>
      <c r="DW9" s="125" t="s">
        <v>199</v>
      </c>
      <c r="DX9" s="137">
        <f t="shared" ref="DX9:DX19" si="84">((($H9+$L9+$Q9+$W9+$AC9+$AI9+$AO9+$AU9+$BA9+$BG9+$BM9+$BS9+$BY9+$CE9+$CK9+$CQ9+$CW9+$DC9+$DI9+$DO9+$DU9)/$G9)/$J$33)/$I9</f>
        <v>0.2600990440054608</v>
      </c>
      <c r="DY9" s="126">
        <f t="shared" ref="DY9:DY19" si="85">DW$33-DX9</f>
        <v>6.165844989087732E-2</v>
      </c>
      <c r="DZ9" s="138">
        <f t="shared" ref="DZ9:DZ19" si="86">IF(DY9&gt;0,$G9*$I9*(($H$33+$L$33+$Q$33+$W$33+$AC$33+$AI$33+$AO$33+$AU$33+$BA$33+$BG$33+$BM$33+$BS$33+$BY$33+$CE$33+$CK$33+$CQ$33+$CW$33+$DC$33+$DI$33+$DO$33+$DU$33)/$G$33)*DY9,0)</f>
        <v>2233536.8497066349</v>
      </c>
      <c r="EA9" s="128">
        <f t="shared" ref="EA9:EA32" si="87">IF((DV$33-DZ$33)&gt;0,DZ9,DV$33*DZ9/DZ$33)</f>
        <v>0</v>
      </c>
      <c r="EB9" s="15" t="s">
        <v>199</v>
      </c>
      <c r="EC9" s="125" t="s">
        <v>199</v>
      </c>
      <c r="ED9" s="137">
        <f t="shared" ref="ED9:ED19" si="88">((($H9+$L9+$Q9+$W9+$AC9+$AI9+$AO9+$AU9+$BA9+$BG9+$BM9+$BS9+$BY9+$CE9+$CK9+$CQ9+$CW9+$DC9+$DI9+$DO9+$DU9+$EA9)/$G9)/$J$33)/$I9</f>
        <v>0.2600990440054608</v>
      </c>
      <c r="EE9" s="126">
        <f t="shared" ref="EE9:EE19" si="89">EC$33-ED9</f>
        <v>6.165844989087732E-2</v>
      </c>
      <c r="EF9" s="138">
        <f t="shared" ref="EF9:EF19" si="90">IF(EE9&gt;0,$G9*$I9*(($H$33+$L$33+$Q$33+$W$33+$AC$33+$AI$33+$AO$33+$AU$33+$BA$33+$BG$33+$BM$33+$BS$33+$BY$33+$CE$33+$CK$33+$CQ$33+$CW$33+$DC$33+$DI$33+$DO$33+$DU$33+$EA$33)/$G$33)*EE9,0)</f>
        <v>2233536.8497066349</v>
      </c>
      <c r="EG9" s="128">
        <f t="shared" ref="EG9:EG32" si="91">IF((EB$33-EF$33)&gt;0,EF9,EB$33*EF9/EF$33)</f>
        <v>0</v>
      </c>
      <c r="EH9" s="15" t="s">
        <v>199</v>
      </c>
      <c r="EI9" s="125" t="s">
        <v>199</v>
      </c>
      <c r="EJ9" s="137">
        <f t="shared" ref="EJ9:EJ19" si="92">((($H9+$L9+$Q9+$W9+$AC9+$AI9+$AO9+$AU9+$BA9+$BG9+$BM9+$BS9+$BY9+$CE9+$CK9+$CQ9+$CW9+$DC9+$DI9+$DO9+$DU9+$EA9+$EG9)/$G9)/$J$33)/$I9</f>
        <v>0.2600990440054608</v>
      </c>
      <c r="EK9" s="126">
        <f t="shared" ref="EK9:EK19" si="93">EI$33-EJ9</f>
        <v>6.165844989087732E-2</v>
      </c>
      <c r="EL9" s="138">
        <f t="shared" ref="EL9:EL19" si="94">IF(EK9&gt;0,$G9*$I9*(($H$33+$L$33+$Q$33+$W$33+$AC$33+$AI$33+$AO$33+$AU$33+$BA$33+$BG$33+$BM$33+$BS$33+$BY$33+$CE$33+$CK$33+$CQ$33+$CW$33+$DC$33+$DI$33+$DO$33+$DU$33+$EA$33+$EG$33)/$G$33)*EK9,0)</f>
        <v>2233536.8497066349</v>
      </c>
      <c r="EM9" s="128">
        <f t="shared" ref="EM9:EM32" si="95">IF((EH$33-EL$33)&gt;0,EL9,EH$33*EL9/EL$33)</f>
        <v>0</v>
      </c>
      <c r="EN9" s="135" t="s">
        <v>199</v>
      </c>
      <c r="EO9" s="130" t="s">
        <v>199</v>
      </c>
      <c r="EP9" s="139">
        <f t="shared" ref="EP9:EP19" si="96">((($H9+$L9+$Q9+$W9+$AC9+$AI9+$AO9+$AU9+$BA9+$BG9+$BM9+$BS9+$BY9+$CE9+$CK9+$CQ9+$CW9+$DC9+$DI9+$DO9+$DU9+$EA9+$EG9+$EM9)/$G9)/$J$33)/$I9</f>
        <v>0.2600990440054608</v>
      </c>
      <c r="EQ9" s="132">
        <f t="shared" ref="EQ9:EQ19" si="97">EO$33-EP9</f>
        <v>6.165844989087732E-2</v>
      </c>
      <c r="ER9" s="133">
        <f t="shared" ref="ER9:ER32" si="98">IF(EQ9&gt;0,$G9*$I9*(($H$33+$L$33+$Q$33+$W$33+$AC$33+$AI$33+$AO$33+$AU$33+$BA$33+$BG$33+$BM$33+$BS$33+$BY$33+$CE$33+$CK$33+$CQ$33+$CW$33+$DC$33+$DI$33+$DO$33+$DU$33+$EA$33+$EG$33+$EM$33)/$G$33)*EQ9,0)</f>
        <v>2233536.8497066349</v>
      </c>
      <c r="ES9" s="134">
        <f t="shared" ref="ES9:ES32" si="99">IF((EN$33-ER$33)&gt;0,ER9,EN$33*ER9/ER$33)</f>
        <v>0</v>
      </c>
      <c r="ET9" s="15" t="s">
        <v>199</v>
      </c>
      <c r="EU9" s="125" t="s">
        <v>199</v>
      </c>
      <c r="EV9" s="137">
        <f t="shared" ref="EV9:EV19" si="100">((($H9+$L9+$Q9+$W9+$AC9+$AI9+$AO9+$AU9+$BA9+$BG9+$BM9+$BS9+$BY9+$CE9+$CK9+$CQ9+$CW9+$DC9+$DI9+$DO9+$DU9+$EA9+$EG9+$EM9+$ES9)/$G9)/$J$33)/$I9</f>
        <v>0.2600990440054608</v>
      </c>
      <c r="EW9" s="126">
        <f t="shared" ref="EW9:EW19" si="101">EU$33-EV9</f>
        <v>6.165844989087732E-2</v>
      </c>
      <c r="EX9" s="138">
        <f t="shared" ref="EX9:EX19" si="102">IF(EW9&gt;0,$G9*$I9*(($H$33+$L$33+$Q$33+$W$33+$AC$33+$AI$33+$AO$33+$AU$33+$BA$33+$BG$33+$BM$33+$BS$33+$BY$33+$CE$33+$CK$33+$CQ$33+$CW$33+$DC$33+$DI$33+$DO$33+$DU$33+$EA$33+$EG$33+$EM$33+$ES$33)/$G$33)*EW9,0)</f>
        <v>2233536.8497066349</v>
      </c>
      <c r="EY9" s="128">
        <f t="shared" ref="EY9:EY32" si="103">IF((ET$33-EX$33)&gt;0,EX9,ET$33*EX9/EX$33)</f>
        <v>0</v>
      </c>
      <c r="EZ9" s="15" t="s">
        <v>199</v>
      </c>
      <c r="FA9" s="125" t="s">
        <v>199</v>
      </c>
      <c r="FB9" s="137">
        <f t="shared" ref="FB9:FB19" si="104">((($H9+$L9+$Q9+$W9+$AC9+$AI9+$AO9+$AU9+$BA9+$BG9+$BM9+$BS9+$BY9+$CE9+$CK9+$CQ9+$CW9+$DC9+$DI9+$DO9+$DU9+$EA9+$EG9+$EM9+$ES9+$EY9)/$G9)/$J$33)/$I9</f>
        <v>0.2600990440054608</v>
      </c>
      <c r="FC9" s="126">
        <f t="shared" ref="FC9:FC19" si="105">FA$33-FB9</f>
        <v>6.165844989087732E-2</v>
      </c>
      <c r="FD9" s="138">
        <f t="shared" ref="FD9:FD19" si="106">IF(FC9&gt;0,$G9*$I9*(($H$33+$L$33+$Q$33+$W$33+$AC$33+$AI$33+$AO$33+$AU$33+$BA$33+$BG$33+$BM$33+$BS$33+$BY$33+$CE$33+$CK$33+$CQ$33+$CW$33+$DC$33+$DI$33+$DO$33+$DU$33+$EA$33+$EG$33+$EM$33+$ES$33+$EY$33)/$G$33)*FC9,0)</f>
        <v>2233536.8497066349</v>
      </c>
      <c r="FE9" s="128">
        <f t="shared" ref="FE9:FE32" si="107">IF((EZ$33-FD$33)&gt;0,FD9,EZ$33*FD9/FD$33)</f>
        <v>0</v>
      </c>
      <c r="FF9" s="15" t="s">
        <v>199</v>
      </c>
      <c r="FG9" s="125" t="s">
        <v>199</v>
      </c>
      <c r="FH9" s="137">
        <f t="shared" ref="FH9:FH19" si="108">((($H9+$L9+$Q9+$W9+$AC9+$AI9+$AO9+$AU9+$BA9+$BG9+$BM9+$BS9+$BY9+$CE9+$CK9+$CQ9+$CW9+$DC9+$DI9+$DO9+$DU9+$EA9+$EG9+$EM9+$ES9+$EY9+$FE9)/$G9)/$J$33)/$I9</f>
        <v>0.2600990440054608</v>
      </c>
      <c r="FI9" s="126">
        <f t="shared" ref="FI9:FI19" si="109">FG$33-FH9</f>
        <v>6.165844989087732E-2</v>
      </c>
      <c r="FJ9" s="138">
        <f t="shared" ref="FJ9:FJ19" si="110">IF(FI9&gt;0,$G9*$I9*(($H$33+$L$33+$Q$33+$W$33+$AC$33+$AI$33+$AO$33+$AU$33+$BA$33+$BG$33+$BM$33+$BS$33+$BY$33+$CE$33+$CK$33+$CQ$33+$CW$33+$DC$33+$DI$33+$DO$33+$DU$33+$EA$33+$EG$33+$EM$33+$ES$33+$EY$33+$FE$33)/$G$33)*FI9,0)</f>
        <v>2233536.8497066349</v>
      </c>
      <c r="FK9" s="128">
        <f t="shared" ref="FK9:FK32" si="111">IF((FF$33-FJ$33)&gt;0,FJ9,FF$33*FJ9/FJ$33)</f>
        <v>0</v>
      </c>
      <c r="FL9" s="15" t="s">
        <v>199</v>
      </c>
      <c r="FM9" s="125" t="s">
        <v>199</v>
      </c>
      <c r="FN9" s="137">
        <f t="shared" ref="FN9:FN19" si="112">((($H9+$L9+$Q9+$W9+$AC9+$AI9+$AO9+$AU9+$BA9+$BG9+$BM9+$BS9+$BY9+$CE9+$CK9+$CQ9+$CW9+$DC9+$DI9+$DO9+$DU9+$EA9+$EG9+$EM9+$ES9+$EY9+$FE9+$FK9)/$G9)/$J$33)/$I9</f>
        <v>0.2600990440054608</v>
      </c>
      <c r="FO9" s="126">
        <f t="shared" ref="FO9:FO19" si="113">FM$33-FN9</f>
        <v>6.165844989087732E-2</v>
      </c>
      <c r="FP9" s="138">
        <f t="shared" ref="FP9:FP19" si="114">IF(FO9&gt;0,$G9*$I9*(($H$33+$L$33+$Q$33+$W$33+$AC$33+$AI$33+$AO$33+$AU$33+$BA$33+$BG$33+$BM$33+$BS$33+$BY$33+$CE$33+$CK$33+$CQ$33+$CW$33+$DC$33+$DI$33+$DO$33+$DU$33+$EA$33+$EG$33+$EM$33+$ES$33+$EY$33+$FE$33+$FK$33)/$G$33)*FO9,0)</f>
        <v>2233536.8497066349</v>
      </c>
      <c r="FQ9" s="128">
        <f t="shared" ref="FQ9:FQ32" si="115">IF((FL$33-FP$33)&gt;0,FP9,FL$33*FP9/FP$33)</f>
        <v>0</v>
      </c>
      <c r="FR9" s="15" t="s">
        <v>199</v>
      </c>
      <c r="FS9" s="125" t="s">
        <v>199</v>
      </c>
      <c r="FT9" s="137">
        <f t="shared" ref="FT9:FT19" si="116">((($H9+$L9+$Q9+$W9+$AC9+$AI9+$AO9+$AU9+$BA9+$BG9+$BM9+$BS9+$BY9+$CE9+$CK9+$CQ9+$CW9+$DC9+$DI9+$DO9+$DU9+$EA9+$EG9+$EM9+$ES9+$EY9+$FE9+$FK9+$FQ9)/$G9)/$J$33)/$I9</f>
        <v>0.2600990440054608</v>
      </c>
      <c r="FU9" s="126">
        <f t="shared" ref="FU9:FU19" si="117">FS$33-FT9</f>
        <v>6.165844989087732E-2</v>
      </c>
      <c r="FV9" s="138">
        <f t="shared" ref="FV9:FV19" si="118">IF(FU9&gt;0,$G9*$I9*(($H$33+$L$33+$Q$33+$W$33+$AC$33+$AI$33+$AO$33+$AU$33+$BA$33+$BG$33+$BM$33+$BS$33+$BY$33+$CE$33+$CK$33+$CQ$33+$CW$33+$DC$33+$DI$33+$DO$33+$DU$33+$EA$33+$EG$33+$EM$33+$ES$33+$EY$33+$FE$33+$FK$33+$FQ$33)/$G$33)*FU9,0)</f>
        <v>2233536.8497066349</v>
      </c>
      <c r="FW9" s="128">
        <f t="shared" ref="FW9:FW32" si="119">IF((FR$33-FV$33)&gt;0,FV9,FR$33*FV9/FV$33)</f>
        <v>0</v>
      </c>
      <c r="FX9" s="15" t="s">
        <v>199</v>
      </c>
      <c r="FY9" s="125" t="s">
        <v>199</v>
      </c>
      <c r="FZ9" s="137">
        <f t="shared" ref="FZ9:FZ19" si="120">((($H9+$L9+$Q9+$W9+$AC9+$AI9+$AO9+$AU9+$BA9+$BG9+$BM9+$BS9+$BY9+$CE9+$CK9+$CQ9+$CW9+$DC9+$DI9+$DO9+$DU9+$EA9+$EG9+$EM9+$ES9+$EY9+$FE9+$FK9+$FQ9+$FW9)/$G9)/$J$33)/$I9</f>
        <v>0.2600990440054608</v>
      </c>
      <c r="GA9" s="126">
        <f t="shared" ref="GA9:GA19" si="121">FY$33-FZ9</f>
        <v>6.165844989087732E-2</v>
      </c>
      <c r="GB9" s="138">
        <f t="shared" ref="GB9:GB19" si="122">IF(GA9&gt;0,$G9*$I9*(($H$33+$L$33+$Q$33+$W$33+$AC$33+$AI$33+$AO$33+$AU$33+$BA$33+$BG$33+$BM$33+$BS$33+$BY$33+$CE$33+$CK$33+$CQ$33+$CW$33+$DC$33+$DI$33+$DO$33+$DU$33+$EA$33+$EG$33+$EM$33+$ES$33+$EY$33+$FE$33+$FK$33+$FQ$33+$FW$33)/$G$33)*GA9,0)</f>
        <v>2233536.8497066349</v>
      </c>
      <c r="GC9" s="128">
        <f t="shared" ref="GC9:GC32" si="123">IF((FX$33-GB$33)&gt;0,GB9,FX$33*GB9/GB$33)</f>
        <v>0</v>
      </c>
      <c r="GD9" s="15" t="s">
        <v>199</v>
      </c>
      <c r="GE9" s="125" t="s">
        <v>199</v>
      </c>
      <c r="GF9" s="137">
        <f t="shared" ref="GF9:GF19" si="124">((($H9+$L9+$Q9+$W9+$AC9+$AI9+$AO9+$AU9+$BA9+$BG9+$BM9+$BS9+$BY9+$CE9+$CK9+$CQ9+$CW9+$DC9+$DI9+$DO9+$DU9+$EA9+$EG9+$EM9+$ES9+$EY9+$FE9+$FK9+$FQ9+$FW9+$GC9)/$G9)/$J$33)/$I9</f>
        <v>0.2600990440054608</v>
      </c>
      <c r="GG9" s="126">
        <f t="shared" ref="GG9:GG19" si="125">GE$33-GF9</f>
        <v>6.165844989087732E-2</v>
      </c>
      <c r="GH9" s="138">
        <f t="shared" ref="GH9:GH19" si="126">IF(GG9&gt;0,$G9*$I9*(($H$33+$L$33+$Q$33+$W$33+$AC$33+$AI$33+$AO$33+$AU$33+$BA$33+$BG$33+$BM$33+$BS$33+$BY$33+$CE$33+$CK$33+$CQ$33+$CW$33+$DC$33+$DI$33+$DO$33+$DU$33+$EA$33+$EG$33+$EM$33+$ES$33+$EY$33+$FE$33+$FK$33+$FQ$33+$FW$33+$GC$33)/$G$33)*GG9,0)</f>
        <v>2233536.8497066349</v>
      </c>
      <c r="GI9" s="140">
        <f t="shared" ref="GI9:GI32" si="127">IF((GD$33-GH$33)&gt;0,GH9,GD$33*GH9/GH$33)</f>
        <v>0</v>
      </c>
      <c r="GJ9" s="141">
        <f t="shared" ref="GJ9:GJ32" si="128">Q9+W9+AC9+AI9+AO9+AU9+BA9+BG9+BM9+BS9+BY9+CE9+CK9+CQ9+CW9+DC9+DI9+DO9+DU9+EA9+EG9+EM9+ES9+EY9+FE9+FK9+FQ9+FW9+GC9+GI9</f>
        <v>2366792.0337826973</v>
      </c>
      <c r="GK9" s="142">
        <f t="shared" ref="GK9:GK33" si="129">L9+GJ9</f>
        <v>2511915.8379500369</v>
      </c>
      <c r="GL9" s="143">
        <f t="shared" ref="GL9:GL19" si="130">K9+GK9/($H$33/$G$33)/G9/I9</f>
        <v>0.2600990440054608</v>
      </c>
      <c r="GM9" s="142">
        <v>2511915.84</v>
      </c>
    </row>
    <row r="10" spans="1:195" s="20" customFormat="1" x14ac:dyDescent="0.25">
      <c r="A10" s="144" t="s">
        <v>19</v>
      </c>
      <c r="B10" s="145" t="s">
        <v>199</v>
      </c>
      <c r="C10" s="145" t="s">
        <v>199</v>
      </c>
      <c r="D10" s="145" t="s">
        <v>199</v>
      </c>
      <c r="E10" s="145" t="s">
        <v>199</v>
      </c>
      <c r="F10" s="145" t="s">
        <v>199</v>
      </c>
      <c r="G10" s="146">
        <f>'Исходные данные'!C12</f>
        <v>567</v>
      </c>
      <c r="H10" s="147">
        <f>'Исходные данные'!D12</f>
        <v>741061</v>
      </c>
      <c r="I10" s="148">
        <f>'Расчет КРП'!G8</f>
        <v>17.04962467671734</v>
      </c>
      <c r="J10" s="149" t="s">
        <v>199</v>
      </c>
      <c r="K10" s="150">
        <f t="shared" si="6"/>
        <v>6.8192898935823934E-2</v>
      </c>
      <c r="L10" s="151">
        <f t="shared" si="7"/>
        <v>119949.26670973995</v>
      </c>
      <c r="M10" s="152">
        <f t="shared" si="8"/>
        <v>7.9230705839929624E-2</v>
      </c>
      <c r="N10" s="153" t="s">
        <v>199</v>
      </c>
      <c r="O10" s="154">
        <f t="shared" si="9"/>
        <v>9.4472722978095489E-2</v>
      </c>
      <c r="P10" s="138">
        <f t="shared" si="10"/>
        <v>1219852.4454737036</v>
      </c>
      <c r="Q10" s="155">
        <f t="shared" si="11"/>
        <v>1219852.4454737036</v>
      </c>
      <c r="R10" s="156" t="s">
        <v>199</v>
      </c>
      <c r="S10" s="153" t="s">
        <v>199</v>
      </c>
      <c r="T10" s="157">
        <f t="shared" si="12"/>
        <v>0.19148229448216814</v>
      </c>
      <c r="U10" s="154">
        <f t="shared" si="13"/>
        <v>6.858338212170062E-2</v>
      </c>
      <c r="V10" s="133">
        <f t="shared" si="14"/>
        <v>1613806.7910422606</v>
      </c>
      <c r="W10" s="155">
        <f t="shared" si="15"/>
        <v>745674.58213010442</v>
      </c>
      <c r="X10" s="22" t="s">
        <v>199</v>
      </c>
      <c r="Y10" s="153" t="s">
        <v>199</v>
      </c>
      <c r="Z10" s="157">
        <f t="shared" si="16"/>
        <v>0.26009973814498527</v>
      </c>
      <c r="AA10" s="154">
        <f t="shared" si="17"/>
        <v>6.165775575135285E-2</v>
      </c>
      <c r="AB10" s="133">
        <f t="shared" si="18"/>
        <v>1930999.3421333476</v>
      </c>
      <c r="AC10" s="155">
        <f t="shared" si="19"/>
        <v>0</v>
      </c>
      <c r="AD10" s="22" t="s">
        <v>199</v>
      </c>
      <c r="AE10" s="153" t="s">
        <v>199</v>
      </c>
      <c r="AF10" s="157">
        <f t="shared" si="20"/>
        <v>0.26009973814498527</v>
      </c>
      <c r="AG10" s="154">
        <f t="shared" si="21"/>
        <v>6.165775575135285E-2</v>
      </c>
      <c r="AH10" s="133">
        <f t="shared" si="22"/>
        <v>1930999.3421333476</v>
      </c>
      <c r="AI10" s="155">
        <f t="shared" si="23"/>
        <v>0</v>
      </c>
      <c r="AJ10" s="22" t="s">
        <v>199</v>
      </c>
      <c r="AK10" s="153" t="s">
        <v>199</v>
      </c>
      <c r="AL10" s="157">
        <f t="shared" si="24"/>
        <v>0.26009973814498527</v>
      </c>
      <c r="AM10" s="154">
        <f t="shared" si="25"/>
        <v>6.165775575135285E-2</v>
      </c>
      <c r="AN10" s="133">
        <f t="shared" si="26"/>
        <v>1930999.3421333476</v>
      </c>
      <c r="AO10" s="155">
        <f t="shared" si="27"/>
        <v>0</v>
      </c>
      <c r="AP10" s="22" t="s">
        <v>199</v>
      </c>
      <c r="AQ10" s="153" t="s">
        <v>199</v>
      </c>
      <c r="AR10" s="157">
        <f t="shared" si="28"/>
        <v>0.26009973814498527</v>
      </c>
      <c r="AS10" s="154">
        <f t="shared" si="29"/>
        <v>6.165775575135285E-2</v>
      </c>
      <c r="AT10" s="133">
        <f t="shared" si="30"/>
        <v>1930999.3421333476</v>
      </c>
      <c r="AU10" s="155">
        <f t="shared" si="31"/>
        <v>0</v>
      </c>
      <c r="AV10" s="22" t="s">
        <v>199</v>
      </c>
      <c r="AW10" s="153" t="s">
        <v>199</v>
      </c>
      <c r="AX10" s="157">
        <f t="shared" si="32"/>
        <v>0.26009973814498527</v>
      </c>
      <c r="AY10" s="154">
        <f t="shared" si="33"/>
        <v>6.165775575135285E-2</v>
      </c>
      <c r="AZ10" s="133">
        <f t="shared" si="34"/>
        <v>1930999.3421333476</v>
      </c>
      <c r="BA10" s="155">
        <f t="shared" si="35"/>
        <v>0</v>
      </c>
      <c r="BB10" s="22" t="s">
        <v>199</v>
      </c>
      <c r="BC10" s="153" t="s">
        <v>199</v>
      </c>
      <c r="BD10" s="157">
        <f t="shared" si="36"/>
        <v>0.26009973814498527</v>
      </c>
      <c r="BE10" s="154">
        <f t="shared" si="37"/>
        <v>6.165775575135285E-2</v>
      </c>
      <c r="BF10" s="133">
        <f t="shared" si="38"/>
        <v>1930999.3421333476</v>
      </c>
      <c r="BG10" s="155">
        <f t="shared" si="39"/>
        <v>0</v>
      </c>
      <c r="BH10" s="22" t="s">
        <v>199</v>
      </c>
      <c r="BI10" s="153" t="s">
        <v>199</v>
      </c>
      <c r="BJ10" s="157">
        <f t="shared" si="40"/>
        <v>0.26009973814498527</v>
      </c>
      <c r="BK10" s="154">
        <f t="shared" si="41"/>
        <v>6.165775575135285E-2</v>
      </c>
      <c r="BL10" s="133">
        <f t="shared" si="42"/>
        <v>1930999.3421333476</v>
      </c>
      <c r="BM10" s="155">
        <f t="shared" si="43"/>
        <v>0</v>
      </c>
      <c r="BN10" s="22" t="s">
        <v>199</v>
      </c>
      <c r="BO10" s="153" t="s">
        <v>199</v>
      </c>
      <c r="BP10" s="157">
        <f t="shared" si="44"/>
        <v>0.26009973814498527</v>
      </c>
      <c r="BQ10" s="154">
        <f t="shared" si="45"/>
        <v>6.165775575135285E-2</v>
      </c>
      <c r="BR10" s="133">
        <f t="shared" si="46"/>
        <v>1930999.3421333476</v>
      </c>
      <c r="BS10" s="158">
        <f t="shared" si="47"/>
        <v>0</v>
      </c>
      <c r="BT10" s="22" t="s">
        <v>199</v>
      </c>
      <c r="BU10" s="153" t="s">
        <v>199</v>
      </c>
      <c r="BV10" s="157">
        <f t="shared" si="48"/>
        <v>0.26009973814498527</v>
      </c>
      <c r="BW10" s="154">
        <f t="shared" si="49"/>
        <v>6.165775575135285E-2</v>
      </c>
      <c r="BX10" s="133">
        <f t="shared" si="50"/>
        <v>1930999.3421333476</v>
      </c>
      <c r="BY10" s="158">
        <f t="shared" si="51"/>
        <v>0</v>
      </c>
      <c r="BZ10" s="22" t="s">
        <v>199</v>
      </c>
      <c r="CA10" s="153" t="s">
        <v>199</v>
      </c>
      <c r="CB10" s="157">
        <f t="shared" si="52"/>
        <v>0.26009973814498527</v>
      </c>
      <c r="CC10" s="154">
        <f t="shared" si="53"/>
        <v>6.165775575135285E-2</v>
      </c>
      <c r="CD10" s="133">
        <f t="shared" si="54"/>
        <v>1930999.3421333476</v>
      </c>
      <c r="CE10" s="158">
        <f t="shared" si="55"/>
        <v>0</v>
      </c>
      <c r="CF10" s="22" t="s">
        <v>199</v>
      </c>
      <c r="CG10" s="153" t="s">
        <v>199</v>
      </c>
      <c r="CH10" s="157">
        <f t="shared" si="56"/>
        <v>0.26009973814498527</v>
      </c>
      <c r="CI10" s="154">
        <f t="shared" si="57"/>
        <v>6.165775575135285E-2</v>
      </c>
      <c r="CJ10" s="133">
        <f t="shared" si="58"/>
        <v>1930999.3421333476</v>
      </c>
      <c r="CK10" s="158">
        <f t="shared" si="59"/>
        <v>0</v>
      </c>
      <c r="CL10" s="22" t="s">
        <v>199</v>
      </c>
      <c r="CM10" s="153" t="s">
        <v>199</v>
      </c>
      <c r="CN10" s="157">
        <f t="shared" si="60"/>
        <v>0.26009973814498527</v>
      </c>
      <c r="CO10" s="154">
        <f t="shared" si="61"/>
        <v>6.165775575135285E-2</v>
      </c>
      <c r="CP10" s="133">
        <f t="shared" si="62"/>
        <v>1930999.3421333476</v>
      </c>
      <c r="CQ10" s="158">
        <f t="shared" si="63"/>
        <v>0</v>
      </c>
      <c r="CR10" s="22" t="s">
        <v>199</v>
      </c>
      <c r="CS10" s="153" t="s">
        <v>199</v>
      </c>
      <c r="CT10" s="157">
        <f t="shared" si="64"/>
        <v>0.26009973814498527</v>
      </c>
      <c r="CU10" s="154">
        <f t="shared" si="65"/>
        <v>6.165775575135285E-2</v>
      </c>
      <c r="CV10" s="133">
        <f t="shared" si="66"/>
        <v>1930999.3421333476</v>
      </c>
      <c r="CW10" s="158">
        <f t="shared" si="67"/>
        <v>0</v>
      </c>
      <c r="CX10" s="22" t="s">
        <v>199</v>
      </c>
      <c r="CY10" s="153" t="s">
        <v>199</v>
      </c>
      <c r="CZ10" s="157">
        <f t="shared" si="68"/>
        <v>0.26009973814498527</v>
      </c>
      <c r="DA10" s="154">
        <f t="shared" si="69"/>
        <v>6.165775575135285E-2</v>
      </c>
      <c r="DB10" s="133">
        <f t="shared" si="70"/>
        <v>1930999.3421333476</v>
      </c>
      <c r="DC10" s="158">
        <f t="shared" si="71"/>
        <v>0</v>
      </c>
      <c r="DD10" s="22" t="s">
        <v>199</v>
      </c>
      <c r="DE10" s="153" t="s">
        <v>199</v>
      </c>
      <c r="DF10" s="157">
        <f t="shared" si="72"/>
        <v>0.26009973814498527</v>
      </c>
      <c r="DG10" s="154">
        <f t="shared" si="73"/>
        <v>6.165775575135285E-2</v>
      </c>
      <c r="DH10" s="133">
        <f t="shared" si="74"/>
        <v>1930999.3421333476</v>
      </c>
      <c r="DI10" s="158">
        <f t="shared" si="75"/>
        <v>0</v>
      </c>
      <c r="DJ10" s="22" t="s">
        <v>199</v>
      </c>
      <c r="DK10" s="153" t="s">
        <v>199</v>
      </c>
      <c r="DL10" s="157">
        <f t="shared" si="76"/>
        <v>0.26009973814498527</v>
      </c>
      <c r="DM10" s="154">
        <f t="shared" si="77"/>
        <v>6.165775575135285E-2</v>
      </c>
      <c r="DN10" s="133">
        <f t="shared" si="78"/>
        <v>1930999.3421333476</v>
      </c>
      <c r="DO10" s="158">
        <f t="shared" si="79"/>
        <v>0</v>
      </c>
      <c r="DP10" s="22" t="s">
        <v>199</v>
      </c>
      <c r="DQ10" s="153" t="s">
        <v>199</v>
      </c>
      <c r="DR10" s="157">
        <f t="shared" si="80"/>
        <v>0.26009973814498527</v>
      </c>
      <c r="DS10" s="154">
        <f t="shared" si="81"/>
        <v>6.165775575135285E-2</v>
      </c>
      <c r="DT10" s="133">
        <f t="shared" si="82"/>
        <v>1930999.3421333476</v>
      </c>
      <c r="DU10" s="158">
        <f t="shared" si="83"/>
        <v>0</v>
      </c>
      <c r="DV10" s="22" t="s">
        <v>199</v>
      </c>
      <c r="DW10" s="153" t="s">
        <v>199</v>
      </c>
      <c r="DX10" s="157">
        <f t="shared" si="84"/>
        <v>0.26009973814498527</v>
      </c>
      <c r="DY10" s="154">
        <f t="shared" si="85"/>
        <v>6.165775575135285E-2</v>
      </c>
      <c r="DZ10" s="138">
        <f t="shared" si="86"/>
        <v>1930999.3421333476</v>
      </c>
      <c r="EA10" s="155">
        <f t="shared" si="87"/>
        <v>0</v>
      </c>
      <c r="EB10" s="22" t="s">
        <v>199</v>
      </c>
      <c r="EC10" s="153" t="s">
        <v>199</v>
      </c>
      <c r="ED10" s="157">
        <f t="shared" si="88"/>
        <v>0.26009973814498527</v>
      </c>
      <c r="EE10" s="154">
        <f t="shared" si="89"/>
        <v>6.165775575135285E-2</v>
      </c>
      <c r="EF10" s="138">
        <f t="shared" si="90"/>
        <v>1930999.3421333476</v>
      </c>
      <c r="EG10" s="155">
        <f t="shared" si="91"/>
        <v>0</v>
      </c>
      <c r="EH10" s="22" t="s">
        <v>199</v>
      </c>
      <c r="EI10" s="153" t="s">
        <v>199</v>
      </c>
      <c r="EJ10" s="157">
        <f t="shared" si="92"/>
        <v>0.26009973814498527</v>
      </c>
      <c r="EK10" s="154">
        <f t="shared" si="93"/>
        <v>6.165775575135285E-2</v>
      </c>
      <c r="EL10" s="138">
        <f t="shared" si="94"/>
        <v>1930999.3421333476</v>
      </c>
      <c r="EM10" s="155">
        <f t="shared" si="95"/>
        <v>0</v>
      </c>
      <c r="EN10" s="22" t="s">
        <v>199</v>
      </c>
      <c r="EO10" s="153" t="s">
        <v>199</v>
      </c>
      <c r="EP10" s="157">
        <f t="shared" si="96"/>
        <v>0.26009973814498527</v>
      </c>
      <c r="EQ10" s="154">
        <f t="shared" si="97"/>
        <v>6.165775575135285E-2</v>
      </c>
      <c r="ER10" s="138">
        <f t="shared" si="98"/>
        <v>1930999.3421333476</v>
      </c>
      <c r="ES10" s="155">
        <f t="shared" si="99"/>
        <v>0</v>
      </c>
      <c r="ET10" s="22" t="s">
        <v>199</v>
      </c>
      <c r="EU10" s="153" t="s">
        <v>199</v>
      </c>
      <c r="EV10" s="157">
        <f t="shared" si="100"/>
        <v>0.26009973814498527</v>
      </c>
      <c r="EW10" s="154">
        <f t="shared" si="101"/>
        <v>6.165775575135285E-2</v>
      </c>
      <c r="EX10" s="138">
        <f t="shared" si="102"/>
        <v>1930999.3421333476</v>
      </c>
      <c r="EY10" s="155">
        <f t="shared" si="103"/>
        <v>0</v>
      </c>
      <c r="EZ10" s="22" t="s">
        <v>199</v>
      </c>
      <c r="FA10" s="153" t="s">
        <v>199</v>
      </c>
      <c r="FB10" s="157">
        <f t="shared" si="104"/>
        <v>0.26009973814498527</v>
      </c>
      <c r="FC10" s="154">
        <f t="shared" si="105"/>
        <v>6.165775575135285E-2</v>
      </c>
      <c r="FD10" s="138">
        <f t="shared" si="106"/>
        <v>1930999.3421333476</v>
      </c>
      <c r="FE10" s="155">
        <f t="shared" si="107"/>
        <v>0</v>
      </c>
      <c r="FF10" s="22" t="s">
        <v>199</v>
      </c>
      <c r="FG10" s="153" t="s">
        <v>199</v>
      </c>
      <c r="FH10" s="157">
        <f t="shared" si="108"/>
        <v>0.26009973814498527</v>
      </c>
      <c r="FI10" s="154">
        <f t="shared" si="109"/>
        <v>6.165775575135285E-2</v>
      </c>
      <c r="FJ10" s="138">
        <f t="shared" si="110"/>
        <v>1930999.3421333476</v>
      </c>
      <c r="FK10" s="155">
        <f t="shared" si="111"/>
        <v>0</v>
      </c>
      <c r="FL10" s="22" t="s">
        <v>199</v>
      </c>
      <c r="FM10" s="153" t="s">
        <v>199</v>
      </c>
      <c r="FN10" s="157">
        <f t="shared" si="112"/>
        <v>0.26009973814498527</v>
      </c>
      <c r="FO10" s="154">
        <f t="shared" si="113"/>
        <v>6.165775575135285E-2</v>
      </c>
      <c r="FP10" s="138">
        <f t="shared" si="114"/>
        <v>1930999.3421333476</v>
      </c>
      <c r="FQ10" s="155">
        <f t="shared" si="115"/>
        <v>0</v>
      </c>
      <c r="FR10" s="22" t="s">
        <v>199</v>
      </c>
      <c r="FS10" s="153" t="s">
        <v>199</v>
      </c>
      <c r="FT10" s="157">
        <f t="shared" si="116"/>
        <v>0.26009973814498527</v>
      </c>
      <c r="FU10" s="154">
        <f t="shared" si="117"/>
        <v>6.165775575135285E-2</v>
      </c>
      <c r="FV10" s="138">
        <f t="shared" si="118"/>
        <v>1930999.3421333476</v>
      </c>
      <c r="FW10" s="155">
        <f t="shared" si="119"/>
        <v>0</v>
      </c>
      <c r="FX10" s="22" t="s">
        <v>199</v>
      </c>
      <c r="FY10" s="153" t="s">
        <v>199</v>
      </c>
      <c r="FZ10" s="157">
        <f t="shared" si="120"/>
        <v>0.26009973814498527</v>
      </c>
      <c r="GA10" s="154">
        <f t="shared" si="121"/>
        <v>6.165775575135285E-2</v>
      </c>
      <c r="GB10" s="138">
        <f t="shared" si="122"/>
        <v>1930999.3421333476</v>
      </c>
      <c r="GC10" s="155">
        <f t="shared" si="123"/>
        <v>0</v>
      </c>
      <c r="GD10" s="22" t="s">
        <v>199</v>
      </c>
      <c r="GE10" s="153" t="s">
        <v>199</v>
      </c>
      <c r="GF10" s="157">
        <f t="shared" si="124"/>
        <v>0.26009973814498527</v>
      </c>
      <c r="GG10" s="154">
        <f t="shared" si="125"/>
        <v>6.165775575135285E-2</v>
      </c>
      <c r="GH10" s="138">
        <f t="shared" si="126"/>
        <v>1930999.3421333476</v>
      </c>
      <c r="GI10" s="158">
        <f t="shared" si="127"/>
        <v>0</v>
      </c>
      <c r="GJ10" s="159">
        <f t="shared" si="128"/>
        <v>1965527.0276038079</v>
      </c>
      <c r="GK10" s="160">
        <f t="shared" si="129"/>
        <v>2085476.2943135479</v>
      </c>
      <c r="GL10" s="161">
        <f t="shared" si="130"/>
        <v>0.26009973814498533</v>
      </c>
      <c r="GM10" s="160">
        <v>2085476.3</v>
      </c>
    </row>
    <row r="11" spans="1:195" s="20" customFormat="1" x14ac:dyDescent="0.25">
      <c r="A11" s="144" t="s">
        <v>20</v>
      </c>
      <c r="B11" s="145" t="s">
        <v>199</v>
      </c>
      <c r="C11" s="145" t="s">
        <v>199</v>
      </c>
      <c r="D11" s="145" t="s">
        <v>199</v>
      </c>
      <c r="E11" s="145" t="s">
        <v>199</v>
      </c>
      <c r="F11" s="145" t="s">
        <v>199</v>
      </c>
      <c r="G11" s="146">
        <f>'Исходные данные'!C13</f>
        <v>4976</v>
      </c>
      <c r="H11" s="147">
        <f>'Исходные данные'!D13</f>
        <v>4666278</v>
      </c>
      <c r="I11" s="148">
        <f>'Расчет КРП'!G9</f>
        <v>4.6554469185643095</v>
      </c>
      <c r="J11" s="149" t="s">
        <v>199</v>
      </c>
      <c r="K11" s="150">
        <f t="shared" si="6"/>
        <v>0.17918924306483183</v>
      </c>
      <c r="L11" s="151">
        <f t="shared" si="7"/>
        <v>1052676.4570505572</v>
      </c>
      <c r="M11" s="152">
        <f t="shared" si="8"/>
        <v>0.21961295925384977</v>
      </c>
      <c r="N11" s="153" t="s">
        <v>199</v>
      </c>
      <c r="O11" s="154">
        <f t="shared" si="9"/>
        <v>-4.5909530435824658E-2</v>
      </c>
      <c r="P11" s="138">
        <f t="shared" si="10"/>
        <v>0</v>
      </c>
      <c r="Q11" s="155">
        <f t="shared" si="11"/>
        <v>0</v>
      </c>
      <c r="R11" s="156" t="s">
        <v>199</v>
      </c>
      <c r="S11" s="153" t="s">
        <v>199</v>
      </c>
      <c r="T11" s="157">
        <f t="shared" si="12"/>
        <v>0.21961295925384977</v>
      </c>
      <c r="U11" s="154">
        <f t="shared" si="13"/>
        <v>4.0452717350018985E-2</v>
      </c>
      <c r="V11" s="133">
        <f t="shared" si="14"/>
        <v>2280994.349779048</v>
      </c>
      <c r="W11" s="155">
        <f t="shared" si="15"/>
        <v>1053954.8588180901</v>
      </c>
      <c r="X11" s="22" t="s">
        <v>199</v>
      </c>
      <c r="Y11" s="153" t="s">
        <v>199</v>
      </c>
      <c r="Z11" s="157">
        <f t="shared" si="16"/>
        <v>0.26008576721259447</v>
      </c>
      <c r="AA11" s="154">
        <f t="shared" si="17"/>
        <v>6.1671726683743655E-2</v>
      </c>
      <c r="AB11" s="133">
        <f t="shared" si="18"/>
        <v>4628330.7789980071</v>
      </c>
      <c r="AC11" s="155">
        <f t="shared" si="19"/>
        <v>0</v>
      </c>
      <c r="AD11" s="22" t="s">
        <v>199</v>
      </c>
      <c r="AE11" s="153" t="s">
        <v>199</v>
      </c>
      <c r="AF11" s="157">
        <f t="shared" si="20"/>
        <v>0.26008576721259447</v>
      </c>
      <c r="AG11" s="154">
        <f t="shared" si="21"/>
        <v>6.1671726683743655E-2</v>
      </c>
      <c r="AH11" s="133">
        <f t="shared" si="22"/>
        <v>4628330.7789980071</v>
      </c>
      <c r="AI11" s="155">
        <f t="shared" si="23"/>
        <v>0</v>
      </c>
      <c r="AJ11" s="22" t="s">
        <v>199</v>
      </c>
      <c r="AK11" s="153" t="s">
        <v>199</v>
      </c>
      <c r="AL11" s="157">
        <f t="shared" si="24"/>
        <v>0.26008576721259447</v>
      </c>
      <c r="AM11" s="154">
        <f t="shared" si="25"/>
        <v>6.1671726683743655E-2</v>
      </c>
      <c r="AN11" s="133">
        <f t="shared" si="26"/>
        <v>4628330.7789980071</v>
      </c>
      <c r="AO11" s="155">
        <f t="shared" si="27"/>
        <v>0</v>
      </c>
      <c r="AP11" s="22" t="s">
        <v>199</v>
      </c>
      <c r="AQ11" s="153" t="s">
        <v>199</v>
      </c>
      <c r="AR11" s="157">
        <f t="shared" si="28"/>
        <v>0.26008576721259447</v>
      </c>
      <c r="AS11" s="154">
        <f t="shared" si="29"/>
        <v>6.1671726683743655E-2</v>
      </c>
      <c r="AT11" s="133">
        <f t="shared" si="30"/>
        <v>4628330.7789980071</v>
      </c>
      <c r="AU11" s="155">
        <f t="shared" si="31"/>
        <v>0</v>
      </c>
      <c r="AV11" s="22" t="s">
        <v>199</v>
      </c>
      <c r="AW11" s="153" t="s">
        <v>199</v>
      </c>
      <c r="AX11" s="157">
        <f t="shared" si="32"/>
        <v>0.26008576721259447</v>
      </c>
      <c r="AY11" s="154">
        <f t="shared" si="33"/>
        <v>6.1671726683743655E-2</v>
      </c>
      <c r="AZ11" s="133">
        <f t="shared" si="34"/>
        <v>4628330.7789980071</v>
      </c>
      <c r="BA11" s="155">
        <f t="shared" si="35"/>
        <v>0</v>
      </c>
      <c r="BB11" s="22" t="s">
        <v>199</v>
      </c>
      <c r="BC11" s="153" t="s">
        <v>199</v>
      </c>
      <c r="BD11" s="157">
        <f t="shared" si="36"/>
        <v>0.26008576721259447</v>
      </c>
      <c r="BE11" s="154">
        <f t="shared" si="37"/>
        <v>6.1671726683743655E-2</v>
      </c>
      <c r="BF11" s="133">
        <f t="shared" si="38"/>
        <v>4628330.7789980071</v>
      </c>
      <c r="BG11" s="155">
        <f t="shared" si="39"/>
        <v>0</v>
      </c>
      <c r="BH11" s="22" t="s">
        <v>199</v>
      </c>
      <c r="BI11" s="153" t="s">
        <v>199</v>
      </c>
      <c r="BJ11" s="157">
        <f t="shared" si="40"/>
        <v>0.26008576721259447</v>
      </c>
      <c r="BK11" s="154">
        <f t="shared" si="41"/>
        <v>6.1671726683743655E-2</v>
      </c>
      <c r="BL11" s="133">
        <f t="shared" si="42"/>
        <v>4628330.7789980071</v>
      </c>
      <c r="BM11" s="155">
        <f t="shared" si="43"/>
        <v>0</v>
      </c>
      <c r="BN11" s="22" t="s">
        <v>199</v>
      </c>
      <c r="BO11" s="153" t="s">
        <v>199</v>
      </c>
      <c r="BP11" s="157">
        <f t="shared" si="44"/>
        <v>0.26008576721259447</v>
      </c>
      <c r="BQ11" s="154">
        <f t="shared" si="45"/>
        <v>6.1671726683743655E-2</v>
      </c>
      <c r="BR11" s="133">
        <f t="shared" si="46"/>
        <v>4628330.7789980071</v>
      </c>
      <c r="BS11" s="158">
        <f t="shared" si="47"/>
        <v>0</v>
      </c>
      <c r="BT11" s="22" t="s">
        <v>199</v>
      </c>
      <c r="BU11" s="153" t="s">
        <v>199</v>
      </c>
      <c r="BV11" s="157">
        <f t="shared" si="48"/>
        <v>0.26008576721259447</v>
      </c>
      <c r="BW11" s="154">
        <f t="shared" si="49"/>
        <v>6.1671726683743655E-2</v>
      </c>
      <c r="BX11" s="133">
        <f t="shared" si="50"/>
        <v>4628330.7789980071</v>
      </c>
      <c r="BY11" s="158">
        <f t="shared" si="51"/>
        <v>0</v>
      </c>
      <c r="BZ11" s="22" t="s">
        <v>199</v>
      </c>
      <c r="CA11" s="153" t="s">
        <v>199</v>
      </c>
      <c r="CB11" s="157">
        <f t="shared" si="52"/>
        <v>0.26008576721259447</v>
      </c>
      <c r="CC11" s="154">
        <f t="shared" si="53"/>
        <v>6.1671726683743655E-2</v>
      </c>
      <c r="CD11" s="133">
        <f t="shared" si="54"/>
        <v>4628330.7789980071</v>
      </c>
      <c r="CE11" s="158">
        <f t="shared" si="55"/>
        <v>0</v>
      </c>
      <c r="CF11" s="22" t="s">
        <v>199</v>
      </c>
      <c r="CG11" s="153" t="s">
        <v>199</v>
      </c>
      <c r="CH11" s="157">
        <f t="shared" si="56"/>
        <v>0.26008576721259447</v>
      </c>
      <c r="CI11" s="154">
        <f t="shared" si="57"/>
        <v>6.1671726683743655E-2</v>
      </c>
      <c r="CJ11" s="133">
        <f t="shared" si="58"/>
        <v>4628330.7789980071</v>
      </c>
      <c r="CK11" s="158">
        <f t="shared" si="59"/>
        <v>0</v>
      </c>
      <c r="CL11" s="22" t="s">
        <v>199</v>
      </c>
      <c r="CM11" s="153" t="s">
        <v>199</v>
      </c>
      <c r="CN11" s="157">
        <f t="shared" si="60"/>
        <v>0.26008576721259447</v>
      </c>
      <c r="CO11" s="154">
        <f t="shared" si="61"/>
        <v>6.1671726683743655E-2</v>
      </c>
      <c r="CP11" s="133">
        <f t="shared" si="62"/>
        <v>4628330.7789980071</v>
      </c>
      <c r="CQ11" s="158">
        <f t="shared" si="63"/>
        <v>0</v>
      </c>
      <c r="CR11" s="22" t="s">
        <v>199</v>
      </c>
      <c r="CS11" s="153" t="s">
        <v>199</v>
      </c>
      <c r="CT11" s="157">
        <f t="shared" si="64"/>
        <v>0.26008576721259447</v>
      </c>
      <c r="CU11" s="154">
        <f t="shared" si="65"/>
        <v>6.1671726683743655E-2</v>
      </c>
      <c r="CV11" s="133">
        <f t="shared" si="66"/>
        <v>4628330.7789980071</v>
      </c>
      <c r="CW11" s="158">
        <f t="shared" si="67"/>
        <v>0</v>
      </c>
      <c r="CX11" s="22" t="s">
        <v>199</v>
      </c>
      <c r="CY11" s="153" t="s">
        <v>199</v>
      </c>
      <c r="CZ11" s="157">
        <f t="shared" si="68"/>
        <v>0.26008576721259447</v>
      </c>
      <c r="DA11" s="154">
        <f t="shared" si="69"/>
        <v>6.1671726683743655E-2</v>
      </c>
      <c r="DB11" s="133">
        <f t="shared" si="70"/>
        <v>4628330.7789980071</v>
      </c>
      <c r="DC11" s="158">
        <f t="shared" si="71"/>
        <v>0</v>
      </c>
      <c r="DD11" s="22" t="s">
        <v>199</v>
      </c>
      <c r="DE11" s="153" t="s">
        <v>199</v>
      </c>
      <c r="DF11" s="157">
        <f t="shared" si="72"/>
        <v>0.26008576721259447</v>
      </c>
      <c r="DG11" s="154">
        <f t="shared" si="73"/>
        <v>6.1671726683743655E-2</v>
      </c>
      <c r="DH11" s="133">
        <f t="shared" si="74"/>
        <v>4628330.7789980071</v>
      </c>
      <c r="DI11" s="158">
        <f t="shared" si="75"/>
        <v>0</v>
      </c>
      <c r="DJ11" s="22" t="s">
        <v>199</v>
      </c>
      <c r="DK11" s="153" t="s">
        <v>199</v>
      </c>
      <c r="DL11" s="157">
        <f t="shared" si="76"/>
        <v>0.26008576721259447</v>
      </c>
      <c r="DM11" s="154">
        <f t="shared" si="77"/>
        <v>6.1671726683743655E-2</v>
      </c>
      <c r="DN11" s="133">
        <f t="shared" si="78"/>
        <v>4628330.7789980071</v>
      </c>
      <c r="DO11" s="158">
        <f t="shared" si="79"/>
        <v>0</v>
      </c>
      <c r="DP11" s="22" t="s">
        <v>199</v>
      </c>
      <c r="DQ11" s="153" t="s">
        <v>199</v>
      </c>
      <c r="DR11" s="157">
        <f t="shared" si="80"/>
        <v>0.26008576721259447</v>
      </c>
      <c r="DS11" s="154">
        <f t="shared" si="81"/>
        <v>6.1671726683743655E-2</v>
      </c>
      <c r="DT11" s="133">
        <f t="shared" si="82"/>
        <v>4628330.7789980071</v>
      </c>
      <c r="DU11" s="158">
        <f t="shared" si="83"/>
        <v>0</v>
      </c>
      <c r="DV11" s="22" t="s">
        <v>199</v>
      </c>
      <c r="DW11" s="153" t="s">
        <v>199</v>
      </c>
      <c r="DX11" s="157">
        <f t="shared" si="84"/>
        <v>0.26008576721259447</v>
      </c>
      <c r="DY11" s="154">
        <f t="shared" si="85"/>
        <v>6.1671726683743655E-2</v>
      </c>
      <c r="DZ11" s="138">
        <f t="shared" si="86"/>
        <v>4628330.7789980071</v>
      </c>
      <c r="EA11" s="155">
        <f t="shared" si="87"/>
        <v>0</v>
      </c>
      <c r="EB11" s="22" t="s">
        <v>199</v>
      </c>
      <c r="EC11" s="153" t="s">
        <v>199</v>
      </c>
      <c r="ED11" s="157">
        <f t="shared" si="88"/>
        <v>0.26008576721259447</v>
      </c>
      <c r="EE11" s="154">
        <f t="shared" si="89"/>
        <v>6.1671726683743655E-2</v>
      </c>
      <c r="EF11" s="138">
        <f t="shared" si="90"/>
        <v>4628330.7789980071</v>
      </c>
      <c r="EG11" s="155">
        <f t="shared" si="91"/>
        <v>0</v>
      </c>
      <c r="EH11" s="22" t="s">
        <v>199</v>
      </c>
      <c r="EI11" s="153" t="s">
        <v>199</v>
      </c>
      <c r="EJ11" s="157">
        <f t="shared" si="92"/>
        <v>0.26008576721259447</v>
      </c>
      <c r="EK11" s="154">
        <f t="shared" si="93"/>
        <v>6.1671726683743655E-2</v>
      </c>
      <c r="EL11" s="138">
        <f t="shared" si="94"/>
        <v>4628330.7789980071</v>
      </c>
      <c r="EM11" s="155">
        <f t="shared" si="95"/>
        <v>0</v>
      </c>
      <c r="EN11" s="22" t="s">
        <v>199</v>
      </c>
      <c r="EO11" s="153" t="s">
        <v>199</v>
      </c>
      <c r="EP11" s="157">
        <f t="shared" si="96"/>
        <v>0.26008576721259447</v>
      </c>
      <c r="EQ11" s="154">
        <f t="shared" si="97"/>
        <v>6.1671726683743655E-2</v>
      </c>
      <c r="ER11" s="138">
        <f t="shared" si="98"/>
        <v>4628330.7789980071</v>
      </c>
      <c r="ES11" s="155">
        <f t="shared" si="99"/>
        <v>0</v>
      </c>
      <c r="ET11" s="22" t="s">
        <v>199</v>
      </c>
      <c r="EU11" s="153" t="s">
        <v>199</v>
      </c>
      <c r="EV11" s="157">
        <f t="shared" si="100"/>
        <v>0.26008576721259447</v>
      </c>
      <c r="EW11" s="154">
        <f t="shared" si="101"/>
        <v>6.1671726683743655E-2</v>
      </c>
      <c r="EX11" s="138">
        <f t="shared" si="102"/>
        <v>4628330.7789980071</v>
      </c>
      <c r="EY11" s="155">
        <f t="shared" si="103"/>
        <v>0</v>
      </c>
      <c r="EZ11" s="22" t="s">
        <v>199</v>
      </c>
      <c r="FA11" s="153" t="s">
        <v>199</v>
      </c>
      <c r="FB11" s="157">
        <f t="shared" si="104"/>
        <v>0.26008576721259447</v>
      </c>
      <c r="FC11" s="154">
        <f t="shared" si="105"/>
        <v>6.1671726683743655E-2</v>
      </c>
      <c r="FD11" s="138">
        <f t="shared" si="106"/>
        <v>4628330.7789980071</v>
      </c>
      <c r="FE11" s="155">
        <f t="shared" si="107"/>
        <v>0</v>
      </c>
      <c r="FF11" s="22" t="s">
        <v>199</v>
      </c>
      <c r="FG11" s="153" t="s">
        <v>199</v>
      </c>
      <c r="FH11" s="157">
        <f t="shared" si="108"/>
        <v>0.26008576721259447</v>
      </c>
      <c r="FI11" s="154">
        <f t="shared" si="109"/>
        <v>6.1671726683743655E-2</v>
      </c>
      <c r="FJ11" s="138">
        <f t="shared" si="110"/>
        <v>4628330.7789980071</v>
      </c>
      <c r="FK11" s="155">
        <f t="shared" si="111"/>
        <v>0</v>
      </c>
      <c r="FL11" s="22" t="s">
        <v>199</v>
      </c>
      <c r="FM11" s="153" t="s">
        <v>199</v>
      </c>
      <c r="FN11" s="157">
        <f t="shared" si="112"/>
        <v>0.26008576721259447</v>
      </c>
      <c r="FO11" s="154">
        <f t="shared" si="113"/>
        <v>6.1671726683743655E-2</v>
      </c>
      <c r="FP11" s="138">
        <f t="shared" si="114"/>
        <v>4628330.7789980071</v>
      </c>
      <c r="FQ11" s="155">
        <f t="shared" si="115"/>
        <v>0</v>
      </c>
      <c r="FR11" s="22" t="s">
        <v>199</v>
      </c>
      <c r="FS11" s="153" t="s">
        <v>199</v>
      </c>
      <c r="FT11" s="157">
        <f t="shared" si="116"/>
        <v>0.26008576721259447</v>
      </c>
      <c r="FU11" s="154">
        <f t="shared" si="117"/>
        <v>6.1671726683743655E-2</v>
      </c>
      <c r="FV11" s="138">
        <f t="shared" si="118"/>
        <v>4628330.7789980071</v>
      </c>
      <c r="FW11" s="155">
        <f t="shared" si="119"/>
        <v>0</v>
      </c>
      <c r="FX11" s="22" t="s">
        <v>199</v>
      </c>
      <c r="FY11" s="153" t="s">
        <v>199</v>
      </c>
      <c r="FZ11" s="157">
        <f t="shared" si="120"/>
        <v>0.26008576721259447</v>
      </c>
      <c r="GA11" s="154">
        <f t="shared" si="121"/>
        <v>6.1671726683743655E-2</v>
      </c>
      <c r="GB11" s="138">
        <f t="shared" si="122"/>
        <v>4628330.7789980071</v>
      </c>
      <c r="GC11" s="155">
        <f t="shared" si="123"/>
        <v>0</v>
      </c>
      <c r="GD11" s="22" t="s">
        <v>199</v>
      </c>
      <c r="GE11" s="153" t="s">
        <v>199</v>
      </c>
      <c r="GF11" s="157">
        <f t="shared" si="124"/>
        <v>0.26008576721259447</v>
      </c>
      <c r="GG11" s="154">
        <f t="shared" si="125"/>
        <v>6.1671726683743655E-2</v>
      </c>
      <c r="GH11" s="138">
        <f t="shared" si="126"/>
        <v>4628330.7789980071</v>
      </c>
      <c r="GI11" s="158">
        <f t="shared" si="127"/>
        <v>0</v>
      </c>
      <c r="GJ11" s="159">
        <f t="shared" si="128"/>
        <v>1053954.8588180901</v>
      </c>
      <c r="GK11" s="160">
        <f t="shared" si="129"/>
        <v>2106631.3158686473</v>
      </c>
      <c r="GL11" s="161">
        <f t="shared" si="130"/>
        <v>0.26008576721259447</v>
      </c>
      <c r="GM11" s="160">
        <v>2106631.3199999998</v>
      </c>
    </row>
    <row r="12" spans="1:195" s="20" customFormat="1" x14ac:dyDescent="0.25">
      <c r="A12" s="144" t="s">
        <v>21</v>
      </c>
      <c r="B12" s="145" t="s">
        <v>199</v>
      </c>
      <c r="C12" s="145" t="s">
        <v>199</v>
      </c>
      <c r="D12" s="145" t="s">
        <v>199</v>
      </c>
      <c r="E12" s="145" t="s">
        <v>199</v>
      </c>
      <c r="F12" s="145" t="s">
        <v>199</v>
      </c>
      <c r="G12" s="146">
        <f>'Исходные данные'!C14</f>
        <v>530</v>
      </c>
      <c r="H12" s="147">
        <f>'Исходные данные'!D14</f>
        <v>887131</v>
      </c>
      <c r="I12" s="148">
        <f>'Расчет КРП'!G10</f>
        <v>23.035714285714285</v>
      </c>
      <c r="J12" s="149" t="s">
        <v>199</v>
      </c>
      <c r="K12" s="150">
        <f t="shared" si="6"/>
        <v>6.4638799138313566E-2</v>
      </c>
      <c r="L12" s="151">
        <f t="shared" si="7"/>
        <v>112121.88951704087</v>
      </c>
      <c r="M12" s="152">
        <f t="shared" si="8"/>
        <v>7.2808307695110916E-2</v>
      </c>
      <c r="N12" s="153" t="s">
        <v>199</v>
      </c>
      <c r="O12" s="154">
        <f t="shared" si="9"/>
        <v>0.1008951211229142</v>
      </c>
      <c r="P12" s="138">
        <f t="shared" si="10"/>
        <v>1645321.2429961092</v>
      </c>
      <c r="Q12" s="155">
        <f t="shared" si="11"/>
        <v>1645321.2429961092</v>
      </c>
      <c r="R12" s="156" t="s">
        <v>199</v>
      </c>
      <c r="S12" s="153" t="s">
        <v>199</v>
      </c>
      <c r="T12" s="157">
        <f t="shared" si="12"/>
        <v>0.19269092857525819</v>
      </c>
      <c r="U12" s="154">
        <f t="shared" si="13"/>
        <v>6.737474802861057E-2</v>
      </c>
      <c r="V12" s="133">
        <f t="shared" si="14"/>
        <v>2002209.2595935641</v>
      </c>
      <c r="W12" s="155">
        <f t="shared" si="15"/>
        <v>925139.58998785727</v>
      </c>
      <c r="X12" s="22" t="s">
        <v>199</v>
      </c>
      <c r="Y12" s="153" t="s">
        <v>199</v>
      </c>
      <c r="Z12" s="157">
        <f t="shared" si="16"/>
        <v>0.26009913788383476</v>
      </c>
      <c r="AA12" s="154">
        <f t="shared" si="17"/>
        <v>6.1658356012503357E-2</v>
      </c>
      <c r="AB12" s="133">
        <f t="shared" si="18"/>
        <v>2438742.9378184755</v>
      </c>
      <c r="AC12" s="155">
        <f t="shared" si="19"/>
        <v>0</v>
      </c>
      <c r="AD12" s="22" t="s">
        <v>199</v>
      </c>
      <c r="AE12" s="153" t="s">
        <v>199</v>
      </c>
      <c r="AF12" s="157">
        <f t="shared" si="20"/>
        <v>0.26009913788383476</v>
      </c>
      <c r="AG12" s="154">
        <f t="shared" si="21"/>
        <v>6.1658356012503357E-2</v>
      </c>
      <c r="AH12" s="133">
        <f t="shared" si="22"/>
        <v>2438742.9378184755</v>
      </c>
      <c r="AI12" s="155">
        <f t="shared" si="23"/>
        <v>0</v>
      </c>
      <c r="AJ12" s="22" t="s">
        <v>199</v>
      </c>
      <c r="AK12" s="153" t="s">
        <v>199</v>
      </c>
      <c r="AL12" s="157">
        <f t="shared" si="24"/>
        <v>0.26009913788383476</v>
      </c>
      <c r="AM12" s="154">
        <f t="shared" si="25"/>
        <v>6.1658356012503357E-2</v>
      </c>
      <c r="AN12" s="133">
        <f t="shared" si="26"/>
        <v>2438742.9378184755</v>
      </c>
      <c r="AO12" s="155">
        <f t="shared" si="27"/>
        <v>0</v>
      </c>
      <c r="AP12" s="22" t="s">
        <v>199</v>
      </c>
      <c r="AQ12" s="153" t="s">
        <v>199</v>
      </c>
      <c r="AR12" s="157">
        <f t="shared" si="28"/>
        <v>0.26009913788383476</v>
      </c>
      <c r="AS12" s="154">
        <f t="shared" si="29"/>
        <v>6.1658356012503357E-2</v>
      </c>
      <c r="AT12" s="133">
        <f t="shared" si="30"/>
        <v>2438742.9378184755</v>
      </c>
      <c r="AU12" s="155">
        <f t="shared" si="31"/>
        <v>0</v>
      </c>
      <c r="AV12" s="22" t="s">
        <v>199</v>
      </c>
      <c r="AW12" s="153" t="s">
        <v>199</v>
      </c>
      <c r="AX12" s="157">
        <f t="shared" si="32"/>
        <v>0.26009913788383476</v>
      </c>
      <c r="AY12" s="154">
        <f t="shared" si="33"/>
        <v>6.1658356012503357E-2</v>
      </c>
      <c r="AZ12" s="133">
        <f t="shared" si="34"/>
        <v>2438742.9378184755</v>
      </c>
      <c r="BA12" s="155">
        <f t="shared" si="35"/>
        <v>0</v>
      </c>
      <c r="BB12" s="22" t="s">
        <v>199</v>
      </c>
      <c r="BC12" s="153" t="s">
        <v>199</v>
      </c>
      <c r="BD12" s="157">
        <f t="shared" si="36"/>
        <v>0.26009913788383476</v>
      </c>
      <c r="BE12" s="154">
        <f t="shared" si="37"/>
        <v>6.1658356012503357E-2</v>
      </c>
      <c r="BF12" s="133">
        <f t="shared" si="38"/>
        <v>2438742.9378184755</v>
      </c>
      <c r="BG12" s="155">
        <f t="shared" si="39"/>
        <v>0</v>
      </c>
      <c r="BH12" s="22" t="s">
        <v>199</v>
      </c>
      <c r="BI12" s="153" t="s">
        <v>199</v>
      </c>
      <c r="BJ12" s="157">
        <f t="shared" si="40"/>
        <v>0.26009913788383476</v>
      </c>
      <c r="BK12" s="154">
        <f t="shared" si="41"/>
        <v>6.1658356012503357E-2</v>
      </c>
      <c r="BL12" s="133">
        <f t="shared" si="42"/>
        <v>2438742.9378184755</v>
      </c>
      <c r="BM12" s="155">
        <f t="shared" si="43"/>
        <v>0</v>
      </c>
      <c r="BN12" s="22" t="s">
        <v>199</v>
      </c>
      <c r="BO12" s="153" t="s">
        <v>199</v>
      </c>
      <c r="BP12" s="157">
        <f t="shared" si="44"/>
        <v>0.26009913788383476</v>
      </c>
      <c r="BQ12" s="154">
        <f t="shared" si="45"/>
        <v>6.1658356012503357E-2</v>
      </c>
      <c r="BR12" s="133">
        <f t="shared" si="46"/>
        <v>2438742.9378184755</v>
      </c>
      <c r="BS12" s="158">
        <f t="shared" si="47"/>
        <v>0</v>
      </c>
      <c r="BT12" s="22" t="s">
        <v>199</v>
      </c>
      <c r="BU12" s="153" t="s">
        <v>199</v>
      </c>
      <c r="BV12" s="157">
        <f t="shared" si="48"/>
        <v>0.26009913788383476</v>
      </c>
      <c r="BW12" s="154">
        <f t="shared" si="49"/>
        <v>6.1658356012503357E-2</v>
      </c>
      <c r="BX12" s="133">
        <f t="shared" si="50"/>
        <v>2438742.9378184755</v>
      </c>
      <c r="BY12" s="158">
        <f t="shared" si="51"/>
        <v>0</v>
      </c>
      <c r="BZ12" s="22" t="s">
        <v>199</v>
      </c>
      <c r="CA12" s="153" t="s">
        <v>199</v>
      </c>
      <c r="CB12" s="157">
        <f t="shared" si="52"/>
        <v>0.26009913788383476</v>
      </c>
      <c r="CC12" s="154">
        <f t="shared" si="53"/>
        <v>6.1658356012503357E-2</v>
      </c>
      <c r="CD12" s="133">
        <f t="shared" si="54"/>
        <v>2438742.9378184755</v>
      </c>
      <c r="CE12" s="158">
        <f t="shared" si="55"/>
        <v>0</v>
      </c>
      <c r="CF12" s="22" t="s">
        <v>199</v>
      </c>
      <c r="CG12" s="153" t="s">
        <v>199</v>
      </c>
      <c r="CH12" s="157">
        <f t="shared" si="56"/>
        <v>0.26009913788383476</v>
      </c>
      <c r="CI12" s="154">
        <f t="shared" si="57"/>
        <v>6.1658356012503357E-2</v>
      </c>
      <c r="CJ12" s="133">
        <f t="shared" si="58"/>
        <v>2438742.9378184755</v>
      </c>
      <c r="CK12" s="158">
        <f t="shared" si="59"/>
        <v>0</v>
      </c>
      <c r="CL12" s="22" t="s">
        <v>199</v>
      </c>
      <c r="CM12" s="153" t="s">
        <v>199</v>
      </c>
      <c r="CN12" s="157">
        <f t="shared" si="60"/>
        <v>0.26009913788383476</v>
      </c>
      <c r="CO12" s="154">
        <f t="shared" si="61"/>
        <v>6.1658356012503357E-2</v>
      </c>
      <c r="CP12" s="133">
        <f t="shared" si="62"/>
        <v>2438742.9378184755</v>
      </c>
      <c r="CQ12" s="158">
        <f t="shared" si="63"/>
        <v>0</v>
      </c>
      <c r="CR12" s="22" t="s">
        <v>199</v>
      </c>
      <c r="CS12" s="153" t="s">
        <v>199</v>
      </c>
      <c r="CT12" s="157">
        <f t="shared" si="64"/>
        <v>0.26009913788383476</v>
      </c>
      <c r="CU12" s="154">
        <f t="shared" si="65"/>
        <v>6.1658356012503357E-2</v>
      </c>
      <c r="CV12" s="133">
        <f t="shared" si="66"/>
        <v>2438742.9378184755</v>
      </c>
      <c r="CW12" s="158">
        <f t="shared" si="67"/>
        <v>0</v>
      </c>
      <c r="CX12" s="22" t="s">
        <v>199</v>
      </c>
      <c r="CY12" s="153" t="s">
        <v>199</v>
      </c>
      <c r="CZ12" s="157">
        <f t="shared" si="68"/>
        <v>0.26009913788383476</v>
      </c>
      <c r="DA12" s="154">
        <f t="shared" si="69"/>
        <v>6.1658356012503357E-2</v>
      </c>
      <c r="DB12" s="133">
        <f t="shared" si="70"/>
        <v>2438742.9378184755</v>
      </c>
      <c r="DC12" s="158">
        <f t="shared" si="71"/>
        <v>0</v>
      </c>
      <c r="DD12" s="22" t="s">
        <v>199</v>
      </c>
      <c r="DE12" s="153" t="s">
        <v>199</v>
      </c>
      <c r="DF12" s="157">
        <f t="shared" si="72"/>
        <v>0.26009913788383476</v>
      </c>
      <c r="DG12" s="154">
        <f t="shared" si="73"/>
        <v>6.1658356012503357E-2</v>
      </c>
      <c r="DH12" s="133">
        <f t="shared" si="74"/>
        <v>2438742.9378184755</v>
      </c>
      <c r="DI12" s="158">
        <f t="shared" si="75"/>
        <v>0</v>
      </c>
      <c r="DJ12" s="22" t="s">
        <v>199</v>
      </c>
      <c r="DK12" s="153" t="s">
        <v>199</v>
      </c>
      <c r="DL12" s="157">
        <f t="shared" si="76"/>
        <v>0.26009913788383476</v>
      </c>
      <c r="DM12" s="154">
        <f t="shared" si="77"/>
        <v>6.1658356012503357E-2</v>
      </c>
      <c r="DN12" s="133">
        <f t="shared" si="78"/>
        <v>2438742.9378184755</v>
      </c>
      <c r="DO12" s="158">
        <f t="shared" si="79"/>
        <v>0</v>
      </c>
      <c r="DP12" s="22" t="s">
        <v>199</v>
      </c>
      <c r="DQ12" s="153" t="s">
        <v>199</v>
      </c>
      <c r="DR12" s="157">
        <f t="shared" si="80"/>
        <v>0.26009913788383476</v>
      </c>
      <c r="DS12" s="154">
        <f t="shared" si="81"/>
        <v>6.1658356012503357E-2</v>
      </c>
      <c r="DT12" s="133">
        <f t="shared" si="82"/>
        <v>2438742.9378184755</v>
      </c>
      <c r="DU12" s="158">
        <f t="shared" si="83"/>
        <v>0</v>
      </c>
      <c r="DV12" s="22" t="s">
        <v>199</v>
      </c>
      <c r="DW12" s="153" t="s">
        <v>199</v>
      </c>
      <c r="DX12" s="157">
        <f t="shared" si="84"/>
        <v>0.26009913788383476</v>
      </c>
      <c r="DY12" s="154">
        <f t="shared" si="85"/>
        <v>6.1658356012503357E-2</v>
      </c>
      <c r="DZ12" s="138">
        <f t="shared" si="86"/>
        <v>2438742.9378184755</v>
      </c>
      <c r="EA12" s="155">
        <f t="shared" si="87"/>
        <v>0</v>
      </c>
      <c r="EB12" s="22" t="s">
        <v>199</v>
      </c>
      <c r="EC12" s="153" t="s">
        <v>199</v>
      </c>
      <c r="ED12" s="157">
        <f t="shared" si="88"/>
        <v>0.26009913788383476</v>
      </c>
      <c r="EE12" s="154">
        <f t="shared" si="89"/>
        <v>6.1658356012503357E-2</v>
      </c>
      <c r="EF12" s="138">
        <f t="shared" si="90"/>
        <v>2438742.9378184755</v>
      </c>
      <c r="EG12" s="155">
        <f t="shared" si="91"/>
        <v>0</v>
      </c>
      <c r="EH12" s="22" t="s">
        <v>199</v>
      </c>
      <c r="EI12" s="153" t="s">
        <v>199</v>
      </c>
      <c r="EJ12" s="157">
        <f t="shared" si="92"/>
        <v>0.26009913788383476</v>
      </c>
      <c r="EK12" s="154">
        <f t="shared" si="93"/>
        <v>6.1658356012503357E-2</v>
      </c>
      <c r="EL12" s="138">
        <f t="shared" si="94"/>
        <v>2438742.9378184755</v>
      </c>
      <c r="EM12" s="155">
        <f t="shared" si="95"/>
        <v>0</v>
      </c>
      <c r="EN12" s="22" t="s">
        <v>199</v>
      </c>
      <c r="EO12" s="153" t="s">
        <v>199</v>
      </c>
      <c r="EP12" s="157">
        <f t="shared" si="96"/>
        <v>0.26009913788383476</v>
      </c>
      <c r="EQ12" s="154">
        <f t="shared" si="97"/>
        <v>6.1658356012503357E-2</v>
      </c>
      <c r="ER12" s="138">
        <f t="shared" si="98"/>
        <v>2438742.9378184755</v>
      </c>
      <c r="ES12" s="155">
        <f t="shared" si="99"/>
        <v>0</v>
      </c>
      <c r="ET12" s="22" t="s">
        <v>199</v>
      </c>
      <c r="EU12" s="153" t="s">
        <v>199</v>
      </c>
      <c r="EV12" s="157">
        <f t="shared" si="100"/>
        <v>0.26009913788383476</v>
      </c>
      <c r="EW12" s="154">
        <f t="shared" si="101"/>
        <v>6.1658356012503357E-2</v>
      </c>
      <c r="EX12" s="138">
        <f t="shared" si="102"/>
        <v>2438742.9378184755</v>
      </c>
      <c r="EY12" s="155">
        <f t="shared" si="103"/>
        <v>0</v>
      </c>
      <c r="EZ12" s="22" t="s">
        <v>199</v>
      </c>
      <c r="FA12" s="153" t="s">
        <v>199</v>
      </c>
      <c r="FB12" s="157">
        <f t="shared" si="104"/>
        <v>0.26009913788383476</v>
      </c>
      <c r="FC12" s="154">
        <f t="shared" si="105"/>
        <v>6.1658356012503357E-2</v>
      </c>
      <c r="FD12" s="138">
        <f t="shared" si="106"/>
        <v>2438742.9378184755</v>
      </c>
      <c r="FE12" s="155">
        <f t="shared" si="107"/>
        <v>0</v>
      </c>
      <c r="FF12" s="22" t="s">
        <v>199</v>
      </c>
      <c r="FG12" s="153" t="s">
        <v>199</v>
      </c>
      <c r="FH12" s="157">
        <f t="shared" si="108"/>
        <v>0.26009913788383476</v>
      </c>
      <c r="FI12" s="154">
        <f t="shared" si="109"/>
        <v>6.1658356012503357E-2</v>
      </c>
      <c r="FJ12" s="138">
        <f t="shared" si="110"/>
        <v>2438742.9378184755</v>
      </c>
      <c r="FK12" s="155">
        <f t="shared" si="111"/>
        <v>0</v>
      </c>
      <c r="FL12" s="22" t="s">
        <v>199</v>
      </c>
      <c r="FM12" s="153" t="s">
        <v>199</v>
      </c>
      <c r="FN12" s="157">
        <f t="shared" si="112"/>
        <v>0.26009913788383476</v>
      </c>
      <c r="FO12" s="154">
        <f t="shared" si="113"/>
        <v>6.1658356012503357E-2</v>
      </c>
      <c r="FP12" s="138">
        <f t="shared" si="114"/>
        <v>2438742.9378184755</v>
      </c>
      <c r="FQ12" s="155">
        <f t="shared" si="115"/>
        <v>0</v>
      </c>
      <c r="FR12" s="22" t="s">
        <v>199</v>
      </c>
      <c r="FS12" s="153" t="s">
        <v>199</v>
      </c>
      <c r="FT12" s="157">
        <f t="shared" si="116"/>
        <v>0.26009913788383476</v>
      </c>
      <c r="FU12" s="154">
        <f t="shared" si="117"/>
        <v>6.1658356012503357E-2</v>
      </c>
      <c r="FV12" s="138">
        <f t="shared" si="118"/>
        <v>2438742.9378184755</v>
      </c>
      <c r="FW12" s="155">
        <f t="shared" si="119"/>
        <v>0</v>
      </c>
      <c r="FX12" s="22" t="s">
        <v>199</v>
      </c>
      <c r="FY12" s="153" t="s">
        <v>199</v>
      </c>
      <c r="FZ12" s="157">
        <f t="shared" si="120"/>
        <v>0.26009913788383476</v>
      </c>
      <c r="GA12" s="154">
        <f t="shared" si="121"/>
        <v>6.1658356012503357E-2</v>
      </c>
      <c r="GB12" s="138">
        <f t="shared" si="122"/>
        <v>2438742.9378184755</v>
      </c>
      <c r="GC12" s="155">
        <f t="shared" si="123"/>
        <v>0</v>
      </c>
      <c r="GD12" s="22" t="s">
        <v>199</v>
      </c>
      <c r="GE12" s="153" t="s">
        <v>199</v>
      </c>
      <c r="GF12" s="157">
        <f t="shared" si="124"/>
        <v>0.26009913788383476</v>
      </c>
      <c r="GG12" s="154">
        <f t="shared" si="125"/>
        <v>6.1658356012503357E-2</v>
      </c>
      <c r="GH12" s="138">
        <f t="shared" si="126"/>
        <v>2438742.9378184755</v>
      </c>
      <c r="GI12" s="158">
        <f t="shared" si="127"/>
        <v>0</v>
      </c>
      <c r="GJ12" s="159">
        <f t="shared" si="128"/>
        <v>2570460.8329839665</v>
      </c>
      <c r="GK12" s="160">
        <f t="shared" si="129"/>
        <v>2682582.7225010074</v>
      </c>
      <c r="GL12" s="161">
        <f t="shared" si="130"/>
        <v>0.26009913788383476</v>
      </c>
      <c r="GM12" s="160">
        <v>2682582.7200000002</v>
      </c>
    </row>
    <row r="13" spans="1:195" s="20" customFormat="1" ht="15.75" customHeight="1" x14ac:dyDescent="0.25">
      <c r="A13" s="144" t="s">
        <v>22</v>
      </c>
      <c r="B13" s="145" t="s">
        <v>199</v>
      </c>
      <c r="C13" s="145" t="s">
        <v>199</v>
      </c>
      <c r="D13" s="145" t="s">
        <v>199</v>
      </c>
      <c r="E13" s="145" t="s">
        <v>199</v>
      </c>
      <c r="F13" s="145" t="s">
        <v>199</v>
      </c>
      <c r="G13" s="146">
        <f>'Исходные данные'!C15</f>
        <v>623</v>
      </c>
      <c r="H13" s="147">
        <f>'Исходные данные'!D15</f>
        <v>728600</v>
      </c>
      <c r="I13" s="148">
        <f>'Расчет КРП'!G11</f>
        <v>22.434315271557434</v>
      </c>
      <c r="J13" s="149" t="s">
        <v>199</v>
      </c>
      <c r="K13" s="150">
        <f t="shared" si="6"/>
        <v>4.6373660510837231E-2</v>
      </c>
      <c r="L13" s="151">
        <f t="shared" si="7"/>
        <v>131796.10786625749</v>
      </c>
      <c r="M13" s="152">
        <f t="shared" si="8"/>
        <v>5.4762169930051487E-2</v>
      </c>
      <c r="N13" s="153" t="s">
        <v>199</v>
      </c>
      <c r="O13" s="154">
        <f t="shared" si="9"/>
        <v>0.11894125888797363</v>
      </c>
      <c r="P13" s="138">
        <f t="shared" si="10"/>
        <v>2220426.4000443434</v>
      </c>
      <c r="Q13" s="155">
        <f t="shared" si="11"/>
        <v>2220426.4000443434</v>
      </c>
      <c r="R13" s="156" t="s">
        <v>199</v>
      </c>
      <c r="S13" s="153" t="s">
        <v>199</v>
      </c>
      <c r="T13" s="157">
        <f t="shared" si="12"/>
        <v>0.19608703963216081</v>
      </c>
      <c r="U13" s="154">
        <f t="shared" si="13"/>
        <v>6.3978636971707942E-2</v>
      </c>
      <c r="V13" s="133">
        <f t="shared" si="14"/>
        <v>2176559.819012274</v>
      </c>
      <c r="W13" s="155">
        <f t="shared" si="15"/>
        <v>1005699.9031928424</v>
      </c>
      <c r="X13" s="22" t="s">
        <v>199</v>
      </c>
      <c r="Y13" s="153" t="s">
        <v>199</v>
      </c>
      <c r="Z13" s="157">
        <f t="shared" si="16"/>
        <v>0.26009745122486838</v>
      </c>
      <c r="AA13" s="154">
        <f t="shared" si="17"/>
        <v>6.1660042671469739E-2</v>
      </c>
      <c r="AB13" s="133">
        <f t="shared" si="18"/>
        <v>2791908.7332642134</v>
      </c>
      <c r="AC13" s="155">
        <f t="shared" si="19"/>
        <v>0</v>
      </c>
      <c r="AD13" s="22" t="s">
        <v>199</v>
      </c>
      <c r="AE13" s="153" t="s">
        <v>199</v>
      </c>
      <c r="AF13" s="157">
        <f t="shared" si="20"/>
        <v>0.26009745122486838</v>
      </c>
      <c r="AG13" s="154">
        <f t="shared" si="21"/>
        <v>6.1660042671469739E-2</v>
      </c>
      <c r="AH13" s="133">
        <f t="shared" si="22"/>
        <v>2791908.7332642134</v>
      </c>
      <c r="AI13" s="155">
        <f t="shared" si="23"/>
        <v>0</v>
      </c>
      <c r="AJ13" s="22" t="s">
        <v>199</v>
      </c>
      <c r="AK13" s="153" t="s">
        <v>199</v>
      </c>
      <c r="AL13" s="157">
        <f t="shared" si="24"/>
        <v>0.26009745122486838</v>
      </c>
      <c r="AM13" s="154">
        <f t="shared" si="25"/>
        <v>6.1660042671469739E-2</v>
      </c>
      <c r="AN13" s="133">
        <f t="shared" si="26"/>
        <v>2791908.7332642134</v>
      </c>
      <c r="AO13" s="155">
        <f t="shared" si="27"/>
        <v>0</v>
      </c>
      <c r="AP13" s="22" t="s">
        <v>199</v>
      </c>
      <c r="AQ13" s="153" t="s">
        <v>199</v>
      </c>
      <c r="AR13" s="157">
        <f t="shared" si="28"/>
        <v>0.26009745122486838</v>
      </c>
      <c r="AS13" s="154">
        <f t="shared" si="29"/>
        <v>6.1660042671469739E-2</v>
      </c>
      <c r="AT13" s="133">
        <f t="shared" si="30"/>
        <v>2791908.7332642134</v>
      </c>
      <c r="AU13" s="155">
        <f t="shared" si="31"/>
        <v>0</v>
      </c>
      <c r="AV13" s="22" t="s">
        <v>199</v>
      </c>
      <c r="AW13" s="153" t="s">
        <v>199</v>
      </c>
      <c r="AX13" s="157">
        <f t="shared" si="32"/>
        <v>0.26009745122486838</v>
      </c>
      <c r="AY13" s="154">
        <f t="shared" si="33"/>
        <v>6.1660042671469739E-2</v>
      </c>
      <c r="AZ13" s="133">
        <f t="shared" si="34"/>
        <v>2791908.7332642134</v>
      </c>
      <c r="BA13" s="155">
        <f t="shared" si="35"/>
        <v>0</v>
      </c>
      <c r="BB13" s="22" t="s">
        <v>199</v>
      </c>
      <c r="BC13" s="153" t="s">
        <v>199</v>
      </c>
      <c r="BD13" s="157">
        <f t="shared" si="36"/>
        <v>0.26009745122486838</v>
      </c>
      <c r="BE13" s="154">
        <f t="shared" si="37"/>
        <v>6.1660042671469739E-2</v>
      </c>
      <c r="BF13" s="133">
        <f t="shared" si="38"/>
        <v>2791908.7332642134</v>
      </c>
      <c r="BG13" s="155">
        <f t="shared" si="39"/>
        <v>0</v>
      </c>
      <c r="BH13" s="22" t="s">
        <v>199</v>
      </c>
      <c r="BI13" s="153" t="s">
        <v>199</v>
      </c>
      <c r="BJ13" s="157">
        <f t="shared" si="40"/>
        <v>0.26009745122486838</v>
      </c>
      <c r="BK13" s="154">
        <f t="shared" si="41"/>
        <v>6.1660042671469739E-2</v>
      </c>
      <c r="BL13" s="133">
        <f t="shared" si="42"/>
        <v>2791908.7332642134</v>
      </c>
      <c r="BM13" s="155">
        <f t="shared" si="43"/>
        <v>0</v>
      </c>
      <c r="BN13" s="22" t="s">
        <v>199</v>
      </c>
      <c r="BO13" s="153" t="s">
        <v>199</v>
      </c>
      <c r="BP13" s="157">
        <f t="shared" si="44"/>
        <v>0.26009745122486838</v>
      </c>
      <c r="BQ13" s="154">
        <f t="shared" si="45"/>
        <v>6.1660042671469739E-2</v>
      </c>
      <c r="BR13" s="133">
        <f t="shared" si="46"/>
        <v>2791908.7332642134</v>
      </c>
      <c r="BS13" s="158">
        <f t="shared" si="47"/>
        <v>0</v>
      </c>
      <c r="BT13" s="22" t="s">
        <v>199</v>
      </c>
      <c r="BU13" s="153" t="s">
        <v>199</v>
      </c>
      <c r="BV13" s="157">
        <f t="shared" si="48"/>
        <v>0.26009745122486838</v>
      </c>
      <c r="BW13" s="154">
        <f t="shared" si="49"/>
        <v>6.1660042671469739E-2</v>
      </c>
      <c r="BX13" s="133">
        <f t="shared" si="50"/>
        <v>2791908.7332642134</v>
      </c>
      <c r="BY13" s="158">
        <f t="shared" si="51"/>
        <v>0</v>
      </c>
      <c r="BZ13" s="22" t="s">
        <v>199</v>
      </c>
      <c r="CA13" s="153" t="s">
        <v>199</v>
      </c>
      <c r="CB13" s="157">
        <f t="shared" si="52"/>
        <v>0.26009745122486838</v>
      </c>
      <c r="CC13" s="154">
        <f t="shared" si="53"/>
        <v>6.1660042671469739E-2</v>
      </c>
      <c r="CD13" s="133">
        <f t="shared" si="54"/>
        <v>2791908.7332642134</v>
      </c>
      <c r="CE13" s="158">
        <f t="shared" si="55"/>
        <v>0</v>
      </c>
      <c r="CF13" s="22" t="s">
        <v>199</v>
      </c>
      <c r="CG13" s="153" t="s">
        <v>199</v>
      </c>
      <c r="CH13" s="157">
        <f t="shared" si="56"/>
        <v>0.26009745122486838</v>
      </c>
      <c r="CI13" s="154">
        <f t="shared" si="57"/>
        <v>6.1660042671469739E-2</v>
      </c>
      <c r="CJ13" s="133">
        <f t="shared" si="58"/>
        <v>2791908.7332642134</v>
      </c>
      <c r="CK13" s="158">
        <f t="shared" si="59"/>
        <v>0</v>
      </c>
      <c r="CL13" s="22" t="s">
        <v>199</v>
      </c>
      <c r="CM13" s="153" t="s">
        <v>199</v>
      </c>
      <c r="CN13" s="157">
        <f t="shared" si="60"/>
        <v>0.26009745122486838</v>
      </c>
      <c r="CO13" s="154">
        <f t="shared" si="61"/>
        <v>6.1660042671469739E-2</v>
      </c>
      <c r="CP13" s="133">
        <f t="shared" si="62"/>
        <v>2791908.7332642134</v>
      </c>
      <c r="CQ13" s="158">
        <f t="shared" si="63"/>
        <v>0</v>
      </c>
      <c r="CR13" s="22" t="s">
        <v>199</v>
      </c>
      <c r="CS13" s="153" t="s">
        <v>199</v>
      </c>
      <c r="CT13" s="157">
        <f t="shared" si="64"/>
        <v>0.26009745122486838</v>
      </c>
      <c r="CU13" s="154">
        <f t="shared" si="65"/>
        <v>6.1660042671469739E-2</v>
      </c>
      <c r="CV13" s="133">
        <f t="shared" si="66"/>
        <v>2791908.7332642134</v>
      </c>
      <c r="CW13" s="158">
        <f t="shared" si="67"/>
        <v>0</v>
      </c>
      <c r="CX13" s="22" t="s">
        <v>199</v>
      </c>
      <c r="CY13" s="153" t="s">
        <v>199</v>
      </c>
      <c r="CZ13" s="157">
        <f t="shared" si="68"/>
        <v>0.26009745122486838</v>
      </c>
      <c r="DA13" s="154">
        <f t="shared" si="69"/>
        <v>6.1660042671469739E-2</v>
      </c>
      <c r="DB13" s="133">
        <f t="shared" si="70"/>
        <v>2791908.7332642134</v>
      </c>
      <c r="DC13" s="158">
        <f t="shared" si="71"/>
        <v>0</v>
      </c>
      <c r="DD13" s="22" t="s">
        <v>199</v>
      </c>
      <c r="DE13" s="153" t="s">
        <v>199</v>
      </c>
      <c r="DF13" s="157">
        <f t="shared" si="72"/>
        <v>0.26009745122486838</v>
      </c>
      <c r="DG13" s="154">
        <f t="shared" si="73"/>
        <v>6.1660042671469739E-2</v>
      </c>
      <c r="DH13" s="133">
        <f t="shared" si="74"/>
        <v>2791908.7332642134</v>
      </c>
      <c r="DI13" s="158">
        <f t="shared" si="75"/>
        <v>0</v>
      </c>
      <c r="DJ13" s="22" t="s">
        <v>199</v>
      </c>
      <c r="DK13" s="153" t="s">
        <v>199</v>
      </c>
      <c r="DL13" s="157">
        <f t="shared" si="76"/>
        <v>0.26009745122486838</v>
      </c>
      <c r="DM13" s="154">
        <f t="shared" si="77"/>
        <v>6.1660042671469739E-2</v>
      </c>
      <c r="DN13" s="133">
        <f t="shared" si="78"/>
        <v>2791908.7332642134</v>
      </c>
      <c r="DO13" s="158">
        <f t="shared" si="79"/>
        <v>0</v>
      </c>
      <c r="DP13" s="22" t="s">
        <v>199</v>
      </c>
      <c r="DQ13" s="153" t="s">
        <v>199</v>
      </c>
      <c r="DR13" s="157">
        <f t="shared" si="80"/>
        <v>0.26009745122486838</v>
      </c>
      <c r="DS13" s="154">
        <f t="shared" si="81"/>
        <v>6.1660042671469739E-2</v>
      </c>
      <c r="DT13" s="133">
        <f t="shared" si="82"/>
        <v>2791908.7332642134</v>
      </c>
      <c r="DU13" s="158">
        <f t="shared" si="83"/>
        <v>0</v>
      </c>
      <c r="DV13" s="22" t="s">
        <v>199</v>
      </c>
      <c r="DW13" s="153" t="s">
        <v>199</v>
      </c>
      <c r="DX13" s="157">
        <f t="shared" si="84"/>
        <v>0.26009745122486838</v>
      </c>
      <c r="DY13" s="154">
        <f t="shared" si="85"/>
        <v>6.1660042671469739E-2</v>
      </c>
      <c r="DZ13" s="138">
        <f t="shared" si="86"/>
        <v>2791908.7332642134</v>
      </c>
      <c r="EA13" s="155">
        <f t="shared" si="87"/>
        <v>0</v>
      </c>
      <c r="EB13" s="22" t="s">
        <v>199</v>
      </c>
      <c r="EC13" s="153" t="s">
        <v>199</v>
      </c>
      <c r="ED13" s="157">
        <f t="shared" si="88"/>
        <v>0.26009745122486838</v>
      </c>
      <c r="EE13" s="154">
        <f t="shared" si="89"/>
        <v>6.1660042671469739E-2</v>
      </c>
      <c r="EF13" s="138">
        <f t="shared" si="90"/>
        <v>2791908.7332642134</v>
      </c>
      <c r="EG13" s="155">
        <f t="shared" si="91"/>
        <v>0</v>
      </c>
      <c r="EH13" s="22" t="s">
        <v>199</v>
      </c>
      <c r="EI13" s="153" t="s">
        <v>199</v>
      </c>
      <c r="EJ13" s="157">
        <f t="shared" si="92"/>
        <v>0.26009745122486838</v>
      </c>
      <c r="EK13" s="154">
        <f t="shared" si="93"/>
        <v>6.1660042671469739E-2</v>
      </c>
      <c r="EL13" s="138">
        <f t="shared" si="94"/>
        <v>2791908.7332642134</v>
      </c>
      <c r="EM13" s="155">
        <f t="shared" si="95"/>
        <v>0</v>
      </c>
      <c r="EN13" s="22" t="s">
        <v>199</v>
      </c>
      <c r="EO13" s="153" t="s">
        <v>199</v>
      </c>
      <c r="EP13" s="157">
        <f t="shared" si="96"/>
        <v>0.26009745122486838</v>
      </c>
      <c r="EQ13" s="154">
        <f t="shared" si="97"/>
        <v>6.1660042671469739E-2</v>
      </c>
      <c r="ER13" s="138">
        <f t="shared" si="98"/>
        <v>2791908.7332642134</v>
      </c>
      <c r="ES13" s="155">
        <f t="shared" si="99"/>
        <v>0</v>
      </c>
      <c r="ET13" s="22" t="s">
        <v>199</v>
      </c>
      <c r="EU13" s="153" t="s">
        <v>199</v>
      </c>
      <c r="EV13" s="157">
        <f t="shared" si="100"/>
        <v>0.26009745122486838</v>
      </c>
      <c r="EW13" s="154">
        <f t="shared" si="101"/>
        <v>6.1660042671469739E-2</v>
      </c>
      <c r="EX13" s="138">
        <f t="shared" si="102"/>
        <v>2791908.7332642134</v>
      </c>
      <c r="EY13" s="155">
        <f t="shared" si="103"/>
        <v>0</v>
      </c>
      <c r="EZ13" s="22" t="s">
        <v>199</v>
      </c>
      <c r="FA13" s="153" t="s">
        <v>199</v>
      </c>
      <c r="FB13" s="157">
        <f t="shared" si="104"/>
        <v>0.26009745122486838</v>
      </c>
      <c r="FC13" s="154">
        <f t="shared" si="105"/>
        <v>6.1660042671469739E-2</v>
      </c>
      <c r="FD13" s="138">
        <f t="shared" si="106"/>
        <v>2791908.7332642134</v>
      </c>
      <c r="FE13" s="155">
        <f t="shared" si="107"/>
        <v>0</v>
      </c>
      <c r="FF13" s="22" t="s">
        <v>199</v>
      </c>
      <c r="FG13" s="153" t="s">
        <v>199</v>
      </c>
      <c r="FH13" s="157">
        <f t="shared" si="108"/>
        <v>0.26009745122486838</v>
      </c>
      <c r="FI13" s="154">
        <f t="shared" si="109"/>
        <v>6.1660042671469739E-2</v>
      </c>
      <c r="FJ13" s="138">
        <f t="shared" si="110"/>
        <v>2791908.7332642134</v>
      </c>
      <c r="FK13" s="155">
        <f t="shared" si="111"/>
        <v>0</v>
      </c>
      <c r="FL13" s="22" t="s">
        <v>199</v>
      </c>
      <c r="FM13" s="153" t="s">
        <v>199</v>
      </c>
      <c r="FN13" s="157">
        <f t="shared" si="112"/>
        <v>0.26009745122486838</v>
      </c>
      <c r="FO13" s="154">
        <f t="shared" si="113"/>
        <v>6.1660042671469739E-2</v>
      </c>
      <c r="FP13" s="138">
        <f t="shared" si="114"/>
        <v>2791908.7332642134</v>
      </c>
      <c r="FQ13" s="155">
        <f t="shared" si="115"/>
        <v>0</v>
      </c>
      <c r="FR13" s="22" t="s">
        <v>199</v>
      </c>
      <c r="FS13" s="153" t="s">
        <v>199</v>
      </c>
      <c r="FT13" s="157">
        <f t="shared" si="116"/>
        <v>0.26009745122486838</v>
      </c>
      <c r="FU13" s="154">
        <f t="shared" si="117"/>
        <v>6.1660042671469739E-2</v>
      </c>
      <c r="FV13" s="138">
        <f t="shared" si="118"/>
        <v>2791908.7332642134</v>
      </c>
      <c r="FW13" s="155">
        <f t="shared" si="119"/>
        <v>0</v>
      </c>
      <c r="FX13" s="22" t="s">
        <v>199</v>
      </c>
      <c r="FY13" s="153" t="s">
        <v>199</v>
      </c>
      <c r="FZ13" s="157">
        <f t="shared" si="120"/>
        <v>0.26009745122486838</v>
      </c>
      <c r="GA13" s="154">
        <f t="shared" si="121"/>
        <v>6.1660042671469739E-2</v>
      </c>
      <c r="GB13" s="138">
        <f t="shared" si="122"/>
        <v>2791908.7332642134</v>
      </c>
      <c r="GC13" s="155">
        <f t="shared" si="123"/>
        <v>0</v>
      </c>
      <c r="GD13" s="22" t="s">
        <v>199</v>
      </c>
      <c r="GE13" s="153" t="s">
        <v>199</v>
      </c>
      <c r="GF13" s="157">
        <f t="shared" si="124"/>
        <v>0.26009745122486838</v>
      </c>
      <c r="GG13" s="154">
        <f t="shared" si="125"/>
        <v>6.1660042671469739E-2</v>
      </c>
      <c r="GH13" s="138">
        <f t="shared" si="126"/>
        <v>2791908.7332642134</v>
      </c>
      <c r="GI13" s="158">
        <f t="shared" si="127"/>
        <v>0</v>
      </c>
      <c r="GJ13" s="159">
        <f t="shared" si="128"/>
        <v>3226126.3032371858</v>
      </c>
      <c r="GK13" s="160">
        <f t="shared" si="129"/>
        <v>3357922.4111034432</v>
      </c>
      <c r="GL13" s="161">
        <f t="shared" si="130"/>
        <v>0.26009745122486838</v>
      </c>
      <c r="GM13" s="160">
        <v>3357922.41</v>
      </c>
    </row>
    <row r="14" spans="1:195" s="20" customFormat="1" x14ac:dyDescent="0.25">
      <c r="A14" s="144" t="s">
        <v>23</v>
      </c>
      <c r="B14" s="145" t="s">
        <v>199</v>
      </c>
      <c r="C14" s="145" t="s">
        <v>199</v>
      </c>
      <c r="D14" s="145" t="s">
        <v>199</v>
      </c>
      <c r="E14" s="145" t="s">
        <v>199</v>
      </c>
      <c r="F14" s="145" t="s">
        <v>199</v>
      </c>
      <c r="G14" s="146">
        <f>'Исходные данные'!C16</f>
        <v>853</v>
      </c>
      <c r="H14" s="147">
        <f>'Исходные данные'!D16</f>
        <v>971693</v>
      </c>
      <c r="I14" s="148">
        <f>'Расчет КРП'!G12</f>
        <v>12.638989015148102</v>
      </c>
      <c r="J14" s="149" t="s">
        <v>199</v>
      </c>
      <c r="K14" s="150">
        <f t="shared" si="6"/>
        <v>8.0177181159637512E-2</v>
      </c>
      <c r="L14" s="151">
        <f t="shared" si="7"/>
        <v>180452.77690195449</v>
      </c>
      <c r="M14" s="152">
        <f t="shared" si="8"/>
        <v>9.5066858232980306E-2</v>
      </c>
      <c r="N14" s="153" t="s">
        <v>199</v>
      </c>
      <c r="O14" s="154">
        <f t="shared" si="9"/>
        <v>7.8636570585044807E-2</v>
      </c>
      <c r="P14" s="138">
        <f t="shared" si="10"/>
        <v>1132371.4701119168</v>
      </c>
      <c r="Q14" s="155">
        <f t="shared" si="11"/>
        <v>1132371.4701119168</v>
      </c>
      <c r="R14" s="156" t="s">
        <v>199</v>
      </c>
      <c r="S14" s="153" t="s">
        <v>199</v>
      </c>
      <c r="T14" s="157">
        <f t="shared" si="12"/>
        <v>0.18850208159999876</v>
      </c>
      <c r="U14" s="154">
        <f t="shared" si="13"/>
        <v>7.1563595003869995E-2</v>
      </c>
      <c r="V14" s="133">
        <f t="shared" si="14"/>
        <v>1877968.3792359079</v>
      </c>
      <c r="W14" s="155">
        <f t="shared" si="15"/>
        <v>867732.92454413406</v>
      </c>
      <c r="X14" s="22" t="s">
        <v>199</v>
      </c>
      <c r="Y14" s="153" t="s">
        <v>199</v>
      </c>
      <c r="Z14" s="157">
        <f t="shared" si="16"/>
        <v>0.26010121825052224</v>
      </c>
      <c r="AA14" s="154">
        <f t="shared" si="17"/>
        <v>6.1656275645815883E-2</v>
      </c>
      <c r="AB14" s="133">
        <f t="shared" si="18"/>
        <v>2153451.9509818559</v>
      </c>
      <c r="AC14" s="155">
        <f t="shared" si="19"/>
        <v>0</v>
      </c>
      <c r="AD14" s="22" t="s">
        <v>199</v>
      </c>
      <c r="AE14" s="153" t="s">
        <v>199</v>
      </c>
      <c r="AF14" s="157">
        <f t="shared" si="20"/>
        <v>0.26010121825052224</v>
      </c>
      <c r="AG14" s="154">
        <f t="shared" si="21"/>
        <v>6.1656275645815883E-2</v>
      </c>
      <c r="AH14" s="133">
        <f t="shared" si="22"/>
        <v>2153451.9509818559</v>
      </c>
      <c r="AI14" s="155">
        <f t="shared" si="23"/>
        <v>0</v>
      </c>
      <c r="AJ14" s="22" t="s">
        <v>199</v>
      </c>
      <c r="AK14" s="153" t="s">
        <v>199</v>
      </c>
      <c r="AL14" s="157">
        <f t="shared" si="24"/>
        <v>0.26010121825052224</v>
      </c>
      <c r="AM14" s="154">
        <f t="shared" si="25"/>
        <v>6.1656275645815883E-2</v>
      </c>
      <c r="AN14" s="133">
        <f t="shared" si="26"/>
        <v>2153451.9509818559</v>
      </c>
      <c r="AO14" s="155">
        <f t="shared" si="27"/>
        <v>0</v>
      </c>
      <c r="AP14" s="22" t="s">
        <v>199</v>
      </c>
      <c r="AQ14" s="153" t="s">
        <v>199</v>
      </c>
      <c r="AR14" s="157">
        <f t="shared" si="28"/>
        <v>0.26010121825052224</v>
      </c>
      <c r="AS14" s="154">
        <f t="shared" si="29"/>
        <v>6.1656275645815883E-2</v>
      </c>
      <c r="AT14" s="133">
        <f t="shared" si="30"/>
        <v>2153451.9509818559</v>
      </c>
      <c r="AU14" s="155">
        <f t="shared" si="31"/>
        <v>0</v>
      </c>
      <c r="AV14" s="22" t="s">
        <v>199</v>
      </c>
      <c r="AW14" s="153" t="s">
        <v>199</v>
      </c>
      <c r="AX14" s="157">
        <f t="shared" si="32"/>
        <v>0.26010121825052224</v>
      </c>
      <c r="AY14" s="154">
        <f t="shared" si="33"/>
        <v>6.1656275645815883E-2</v>
      </c>
      <c r="AZ14" s="133">
        <f t="shared" si="34"/>
        <v>2153451.9509818559</v>
      </c>
      <c r="BA14" s="155">
        <f t="shared" si="35"/>
        <v>0</v>
      </c>
      <c r="BB14" s="22" t="s">
        <v>199</v>
      </c>
      <c r="BC14" s="153" t="s">
        <v>199</v>
      </c>
      <c r="BD14" s="157">
        <f t="shared" si="36"/>
        <v>0.26010121825052224</v>
      </c>
      <c r="BE14" s="154">
        <f t="shared" si="37"/>
        <v>6.1656275645815883E-2</v>
      </c>
      <c r="BF14" s="133">
        <f t="shared" si="38"/>
        <v>2153451.9509818559</v>
      </c>
      <c r="BG14" s="155">
        <f t="shared" si="39"/>
        <v>0</v>
      </c>
      <c r="BH14" s="22" t="s">
        <v>199</v>
      </c>
      <c r="BI14" s="153" t="s">
        <v>199</v>
      </c>
      <c r="BJ14" s="157">
        <f t="shared" si="40"/>
        <v>0.26010121825052224</v>
      </c>
      <c r="BK14" s="154">
        <f t="shared" si="41"/>
        <v>6.1656275645815883E-2</v>
      </c>
      <c r="BL14" s="133">
        <f t="shared" si="42"/>
        <v>2153451.9509818559</v>
      </c>
      <c r="BM14" s="155">
        <f t="shared" si="43"/>
        <v>0</v>
      </c>
      <c r="BN14" s="22" t="s">
        <v>199</v>
      </c>
      <c r="BO14" s="153" t="s">
        <v>199</v>
      </c>
      <c r="BP14" s="157">
        <f t="shared" si="44"/>
        <v>0.26010121825052224</v>
      </c>
      <c r="BQ14" s="154">
        <f t="shared" si="45"/>
        <v>6.1656275645815883E-2</v>
      </c>
      <c r="BR14" s="133">
        <f t="shared" si="46"/>
        <v>2153451.9509818559</v>
      </c>
      <c r="BS14" s="158">
        <f t="shared" si="47"/>
        <v>0</v>
      </c>
      <c r="BT14" s="22" t="s">
        <v>199</v>
      </c>
      <c r="BU14" s="153" t="s">
        <v>199</v>
      </c>
      <c r="BV14" s="157">
        <f t="shared" si="48"/>
        <v>0.26010121825052224</v>
      </c>
      <c r="BW14" s="154">
        <f t="shared" si="49"/>
        <v>6.1656275645815883E-2</v>
      </c>
      <c r="BX14" s="133">
        <f t="shared" si="50"/>
        <v>2153451.9509818559</v>
      </c>
      <c r="BY14" s="158">
        <f t="shared" si="51"/>
        <v>0</v>
      </c>
      <c r="BZ14" s="22" t="s">
        <v>199</v>
      </c>
      <c r="CA14" s="153" t="s">
        <v>199</v>
      </c>
      <c r="CB14" s="157">
        <f t="shared" si="52"/>
        <v>0.26010121825052224</v>
      </c>
      <c r="CC14" s="154">
        <f t="shared" si="53"/>
        <v>6.1656275645815883E-2</v>
      </c>
      <c r="CD14" s="133">
        <f t="shared" si="54"/>
        <v>2153451.9509818559</v>
      </c>
      <c r="CE14" s="158">
        <f t="shared" si="55"/>
        <v>0</v>
      </c>
      <c r="CF14" s="22" t="s">
        <v>199</v>
      </c>
      <c r="CG14" s="153" t="s">
        <v>199</v>
      </c>
      <c r="CH14" s="157">
        <f t="shared" si="56"/>
        <v>0.26010121825052224</v>
      </c>
      <c r="CI14" s="154">
        <f t="shared" si="57"/>
        <v>6.1656275645815883E-2</v>
      </c>
      <c r="CJ14" s="133">
        <f t="shared" si="58"/>
        <v>2153451.9509818559</v>
      </c>
      <c r="CK14" s="158">
        <f t="shared" si="59"/>
        <v>0</v>
      </c>
      <c r="CL14" s="22" t="s">
        <v>199</v>
      </c>
      <c r="CM14" s="153" t="s">
        <v>199</v>
      </c>
      <c r="CN14" s="157">
        <f t="shared" si="60"/>
        <v>0.26010121825052224</v>
      </c>
      <c r="CO14" s="154">
        <f t="shared" si="61"/>
        <v>6.1656275645815883E-2</v>
      </c>
      <c r="CP14" s="133">
        <f t="shared" si="62"/>
        <v>2153451.9509818559</v>
      </c>
      <c r="CQ14" s="158">
        <f t="shared" si="63"/>
        <v>0</v>
      </c>
      <c r="CR14" s="22" t="s">
        <v>199</v>
      </c>
      <c r="CS14" s="153" t="s">
        <v>199</v>
      </c>
      <c r="CT14" s="157">
        <f t="shared" si="64"/>
        <v>0.26010121825052224</v>
      </c>
      <c r="CU14" s="154">
        <f t="shared" si="65"/>
        <v>6.1656275645815883E-2</v>
      </c>
      <c r="CV14" s="133">
        <f t="shared" si="66"/>
        <v>2153451.9509818559</v>
      </c>
      <c r="CW14" s="158">
        <f t="shared" si="67"/>
        <v>0</v>
      </c>
      <c r="CX14" s="22" t="s">
        <v>199</v>
      </c>
      <c r="CY14" s="153" t="s">
        <v>199</v>
      </c>
      <c r="CZ14" s="157">
        <f t="shared" si="68"/>
        <v>0.26010121825052224</v>
      </c>
      <c r="DA14" s="154">
        <f t="shared" si="69"/>
        <v>6.1656275645815883E-2</v>
      </c>
      <c r="DB14" s="133">
        <f t="shared" si="70"/>
        <v>2153451.9509818559</v>
      </c>
      <c r="DC14" s="158">
        <f t="shared" si="71"/>
        <v>0</v>
      </c>
      <c r="DD14" s="22" t="s">
        <v>199</v>
      </c>
      <c r="DE14" s="153" t="s">
        <v>199</v>
      </c>
      <c r="DF14" s="157">
        <f t="shared" si="72"/>
        <v>0.26010121825052224</v>
      </c>
      <c r="DG14" s="154">
        <f t="shared" si="73"/>
        <v>6.1656275645815883E-2</v>
      </c>
      <c r="DH14" s="133">
        <f t="shared" si="74"/>
        <v>2153451.9509818559</v>
      </c>
      <c r="DI14" s="158">
        <f t="shared" si="75"/>
        <v>0</v>
      </c>
      <c r="DJ14" s="22" t="s">
        <v>199</v>
      </c>
      <c r="DK14" s="153" t="s">
        <v>199</v>
      </c>
      <c r="DL14" s="157">
        <f t="shared" si="76"/>
        <v>0.26010121825052224</v>
      </c>
      <c r="DM14" s="154">
        <f t="shared" si="77"/>
        <v>6.1656275645815883E-2</v>
      </c>
      <c r="DN14" s="133">
        <f t="shared" si="78"/>
        <v>2153451.9509818559</v>
      </c>
      <c r="DO14" s="158">
        <f t="shared" si="79"/>
        <v>0</v>
      </c>
      <c r="DP14" s="22" t="s">
        <v>199</v>
      </c>
      <c r="DQ14" s="153" t="s">
        <v>199</v>
      </c>
      <c r="DR14" s="157">
        <f t="shared" si="80"/>
        <v>0.26010121825052224</v>
      </c>
      <c r="DS14" s="154">
        <f t="shared" si="81"/>
        <v>6.1656275645815883E-2</v>
      </c>
      <c r="DT14" s="133">
        <f t="shared" si="82"/>
        <v>2153451.9509818559</v>
      </c>
      <c r="DU14" s="158">
        <f t="shared" si="83"/>
        <v>0</v>
      </c>
      <c r="DV14" s="22" t="s">
        <v>199</v>
      </c>
      <c r="DW14" s="153" t="s">
        <v>199</v>
      </c>
      <c r="DX14" s="157">
        <f t="shared" si="84"/>
        <v>0.26010121825052224</v>
      </c>
      <c r="DY14" s="154">
        <f t="shared" si="85"/>
        <v>6.1656275645815883E-2</v>
      </c>
      <c r="DZ14" s="138">
        <f t="shared" si="86"/>
        <v>2153451.9509818559</v>
      </c>
      <c r="EA14" s="155">
        <f t="shared" si="87"/>
        <v>0</v>
      </c>
      <c r="EB14" s="22" t="s">
        <v>199</v>
      </c>
      <c r="EC14" s="153" t="s">
        <v>199</v>
      </c>
      <c r="ED14" s="157">
        <f t="shared" si="88"/>
        <v>0.26010121825052224</v>
      </c>
      <c r="EE14" s="154">
        <f t="shared" si="89"/>
        <v>6.1656275645815883E-2</v>
      </c>
      <c r="EF14" s="138">
        <f t="shared" si="90"/>
        <v>2153451.9509818559</v>
      </c>
      <c r="EG14" s="155">
        <f t="shared" si="91"/>
        <v>0</v>
      </c>
      <c r="EH14" s="22" t="s">
        <v>199</v>
      </c>
      <c r="EI14" s="153" t="s">
        <v>199</v>
      </c>
      <c r="EJ14" s="157">
        <f t="shared" si="92"/>
        <v>0.26010121825052224</v>
      </c>
      <c r="EK14" s="154">
        <f t="shared" si="93"/>
        <v>6.1656275645815883E-2</v>
      </c>
      <c r="EL14" s="138">
        <f t="shared" si="94"/>
        <v>2153451.9509818559</v>
      </c>
      <c r="EM14" s="155">
        <f t="shared" si="95"/>
        <v>0</v>
      </c>
      <c r="EN14" s="22" t="s">
        <v>199</v>
      </c>
      <c r="EO14" s="153" t="s">
        <v>199</v>
      </c>
      <c r="EP14" s="157">
        <f t="shared" si="96"/>
        <v>0.26010121825052224</v>
      </c>
      <c r="EQ14" s="154">
        <f t="shared" si="97"/>
        <v>6.1656275645815883E-2</v>
      </c>
      <c r="ER14" s="138">
        <f t="shared" si="98"/>
        <v>2153451.9509818559</v>
      </c>
      <c r="ES14" s="155">
        <f t="shared" si="99"/>
        <v>0</v>
      </c>
      <c r="ET14" s="22" t="s">
        <v>199</v>
      </c>
      <c r="EU14" s="153" t="s">
        <v>199</v>
      </c>
      <c r="EV14" s="157">
        <f t="shared" si="100"/>
        <v>0.26010121825052224</v>
      </c>
      <c r="EW14" s="154">
        <f t="shared" si="101"/>
        <v>6.1656275645815883E-2</v>
      </c>
      <c r="EX14" s="138">
        <f t="shared" si="102"/>
        <v>2153451.9509818559</v>
      </c>
      <c r="EY14" s="155">
        <f t="shared" si="103"/>
        <v>0</v>
      </c>
      <c r="EZ14" s="22" t="s">
        <v>199</v>
      </c>
      <c r="FA14" s="153" t="s">
        <v>199</v>
      </c>
      <c r="FB14" s="157">
        <f t="shared" si="104"/>
        <v>0.26010121825052224</v>
      </c>
      <c r="FC14" s="154">
        <f t="shared" si="105"/>
        <v>6.1656275645815883E-2</v>
      </c>
      <c r="FD14" s="138">
        <f t="shared" si="106"/>
        <v>2153451.9509818559</v>
      </c>
      <c r="FE14" s="155">
        <f t="shared" si="107"/>
        <v>0</v>
      </c>
      <c r="FF14" s="22" t="s">
        <v>199</v>
      </c>
      <c r="FG14" s="153" t="s">
        <v>199</v>
      </c>
      <c r="FH14" s="157">
        <f t="shared" si="108"/>
        <v>0.26010121825052224</v>
      </c>
      <c r="FI14" s="154">
        <f t="shared" si="109"/>
        <v>6.1656275645815883E-2</v>
      </c>
      <c r="FJ14" s="138">
        <f t="shared" si="110"/>
        <v>2153451.9509818559</v>
      </c>
      <c r="FK14" s="155">
        <f t="shared" si="111"/>
        <v>0</v>
      </c>
      <c r="FL14" s="22" t="s">
        <v>199</v>
      </c>
      <c r="FM14" s="153" t="s">
        <v>199</v>
      </c>
      <c r="FN14" s="157">
        <f t="shared" si="112"/>
        <v>0.26010121825052224</v>
      </c>
      <c r="FO14" s="154">
        <f t="shared" si="113"/>
        <v>6.1656275645815883E-2</v>
      </c>
      <c r="FP14" s="138">
        <f t="shared" si="114"/>
        <v>2153451.9509818559</v>
      </c>
      <c r="FQ14" s="155">
        <f t="shared" si="115"/>
        <v>0</v>
      </c>
      <c r="FR14" s="22" t="s">
        <v>199</v>
      </c>
      <c r="FS14" s="153" t="s">
        <v>199</v>
      </c>
      <c r="FT14" s="157">
        <f t="shared" si="116"/>
        <v>0.26010121825052224</v>
      </c>
      <c r="FU14" s="154">
        <f t="shared" si="117"/>
        <v>6.1656275645815883E-2</v>
      </c>
      <c r="FV14" s="138">
        <f t="shared" si="118"/>
        <v>2153451.9509818559</v>
      </c>
      <c r="FW14" s="155">
        <f t="shared" si="119"/>
        <v>0</v>
      </c>
      <c r="FX14" s="22" t="s">
        <v>199</v>
      </c>
      <c r="FY14" s="153" t="s">
        <v>199</v>
      </c>
      <c r="FZ14" s="157">
        <f t="shared" si="120"/>
        <v>0.26010121825052224</v>
      </c>
      <c r="GA14" s="154">
        <f t="shared" si="121"/>
        <v>6.1656275645815883E-2</v>
      </c>
      <c r="GB14" s="138">
        <f t="shared" si="122"/>
        <v>2153451.9509818559</v>
      </c>
      <c r="GC14" s="155">
        <f t="shared" si="123"/>
        <v>0</v>
      </c>
      <c r="GD14" s="22" t="s">
        <v>199</v>
      </c>
      <c r="GE14" s="153" t="s">
        <v>199</v>
      </c>
      <c r="GF14" s="157">
        <f t="shared" si="124"/>
        <v>0.26010121825052224</v>
      </c>
      <c r="GG14" s="154">
        <f t="shared" si="125"/>
        <v>6.1656275645815883E-2</v>
      </c>
      <c r="GH14" s="138">
        <f t="shared" si="126"/>
        <v>2153451.9509818559</v>
      </c>
      <c r="GI14" s="158">
        <f t="shared" si="127"/>
        <v>0</v>
      </c>
      <c r="GJ14" s="159">
        <f t="shared" si="128"/>
        <v>2000104.394656051</v>
      </c>
      <c r="GK14" s="160">
        <f t="shared" si="129"/>
        <v>2180557.1715580053</v>
      </c>
      <c r="GL14" s="161">
        <f t="shared" si="130"/>
        <v>0.26010121825052218</v>
      </c>
      <c r="GM14" s="160">
        <v>2180557.173</v>
      </c>
    </row>
    <row r="15" spans="1:195" s="20" customFormat="1" x14ac:dyDescent="0.25">
      <c r="A15" s="144" t="s">
        <v>24</v>
      </c>
      <c r="B15" s="145" t="s">
        <v>199</v>
      </c>
      <c r="C15" s="145" t="s">
        <v>199</v>
      </c>
      <c r="D15" s="145" t="s">
        <v>199</v>
      </c>
      <c r="E15" s="145" t="s">
        <v>199</v>
      </c>
      <c r="F15" s="145" t="s">
        <v>199</v>
      </c>
      <c r="G15" s="146">
        <f>'Исходные данные'!C17</f>
        <v>543</v>
      </c>
      <c r="H15" s="147">
        <f>'Исходные данные'!D17</f>
        <v>668322</v>
      </c>
      <c r="I15" s="148">
        <f>'Расчет КРП'!G13</f>
        <v>18.430276378513305</v>
      </c>
      <c r="J15" s="149" t="s">
        <v>199</v>
      </c>
      <c r="K15" s="150">
        <f t="shared" si="6"/>
        <v>5.9406936460191385E-2</v>
      </c>
      <c r="L15" s="151">
        <f t="shared" si="7"/>
        <v>114872.04907123244</v>
      </c>
      <c r="M15" s="152">
        <f t="shared" si="8"/>
        <v>6.961787747399413E-2</v>
      </c>
      <c r="N15" s="153" t="s">
        <v>199</v>
      </c>
      <c r="O15" s="154">
        <f t="shared" si="9"/>
        <v>0.10408555134403098</v>
      </c>
      <c r="P15" s="138">
        <f t="shared" si="10"/>
        <v>1391313.8569984206</v>
      </c>
      <c r="Q15" s="155">
        <f t="shared" si="11"/>
        <v>1391313.8569984206</v>
      </c>
      <c r="R15" s="156" t="s">
        <v>199</v>
      </c>
      <c r="S15" s="153" t="s">
        <v>199</v>
      </c>
      <c r="T15" s="157">
        <f t="shared" si="12"/>
        <v>0.19329133712202157</v>
      </c>
      <c r="U15" s="154">
        <f t="shared" si="13"/>
        <v>6.6774339481847189E-2</v>
      </c>
      <c r="V15" s="133">
        <f t="shared" si="14"/>
        <v>1626582.280356972</v>
      </c>
      <c r="W15" s="155">
        <f t="shared" si="15"/>
        <v>751577.61693522043</v>
      </c>
      <c r="X15" s="22" t="s">
        <v>199</v>
      </c>
      <c r="Y15" s="153" t="s">
        <v>199</v>
      </c>
      <c r="Z15" s="157">
        <f t="shared" si="16"/>
        <v>0.26009883969439346</v>
      </c>
      <c r="AA15" s="154">
        <f t="shared" si="17"/>
        <v>6.1658654201944663E-2</v>
      </c>
      <c r="AB15" s="133">
        <f t="shared" si="18"/>
        <v>1999043.5231309952</v>
      </c>
      <c r="AC15" s="155">
        <f t="shared" si="19"/>
        <v>0</v>
      </c>
      <c r="AD15" s="22" t="s">
        <v>199</v>
      </c>
      <c r="AE15" s="153" t="s">
        <v>199</v>
      </c>
      <c r="AF15" s="157">
        <f t="shared" si="20"/>
        <v>0.26009883969439346</v>
      </c>
      <c r="AG15" s="154">
        <f t="shared" si="21"/>
        <v>6.1658654201944663E-2</v>
      </c>
      <c r="AH15" s="133">
        <f t="shared" si="22"/>
        <v>1999043.5231309952</v>
      </c>
      <c r="AI15" s="155">
        <f t="shared" si="23"/>
        <v>0</v>
      </c>
      <c r="AJ15" s="22" t="s">
        <v>199</v>
      </c>
      <c r="AK15" s="153" t="s">
        <v>199</v>
      </c>
      <c r="AL15" s="157">
        <f t="shared" si="24"/>
        <v>0.26009883969439346</v>
      </c>
      <c r="AM15" s="154">
        <f t="shared" si="25"/>
        <v>6.1658654201944663E-2</v>
      </c>
      <c r="AN15" s="133">
        <f t="shared" si="26"/>
        <v>1999043.5231309952</v>
      </c>
      <c r="AO15" s="155">
        <f t="shared" si="27"/>
        <v>0</v>
      </c>
      <c r="AP15" s="22" t="s">
        <v>199</v>
      </c>
      <c r="AQ15" s="153" t="s">
        <v>199</v>
      </c>
      <c r="AR15" s="157">
        <f t="shared" si="28"/>
        <v>0.26009883969439346</v>
      </c>
      <c r="AS15" s="154">
        <f t="shared" si="29"/>
        <v>6.1658654201944663E-2</v>
      </c>
      <c r="AT15" s="133">
        <f t="shared" si="30"/>
        <v>1999043.5231309952</v>
      </c>
      <c r="AU15" s="155">
        <f t="shared" si="31"/>
        <v>0</v>
      </c>
      <c r="AV15" s="22" t="s">
        <v>199</v>
      </c>
      <c r="AW15" s="153" t="s">
        <v>199</v>
      </c>
      <c r="AX15" s="157">
        <f t="shared" si="32"/>
        <v>0.26009883969439346</v>
      </c>
      <c r="AY15" s="154">
        <f t="shared" si="33"/>
        <v>6.1658654201944663E-2</v>
      </c>
      <c r="AZ15" s="133">
        <f t="shared" si="34"/>
        <v>1999043.5231309952</v>
      </c>
      <c r="BA15" s="155">
        <f t="shared" si="35"/>
        <v>0</v>
      </c>
      <c r="BB15" s="22" t="s">
        <v>199</v>
      </c>
      <c r="BC15" s="153" t="s">
        <v>199</v>
      </c>
      <c r="BD15" s="157">
        <f t="shared" si="36"/>
        <v>0.26009883969439346</v>
      </c>
      <c r="BE15" s="154">
        <f t="shared" si="37"/>
        <v>6.1658654201944663E-2</v>
      </c>
      <c r="BF15" s="133">
        <f t="shared" si="38"/>
        <v>1999043.5231309952</v>
      </c>
      <c r="BG15" s="155">
        <f t="shared" si="39"/>
        <v>0</v>
      </c>
      <c r="BH15" s="22" t="s">
        <v>199</v>
      </c>
      <c r="BI15" s="153" t="s">
        <v>199</v>
      </c>
      <c r="BJ15" s="157">
        <f t="shared" si="40"/>
        <v>0.26009883969439346</v>
      </c>
      <c r="BK15" s="154">
        <f t="shared" si="41"/>
        <v>6.1658654201944663E-2</v>
      </c>
      <c r="BL15" s="133">
        <f t="shared" si="42"/>
        <v>1999043.5231309952</v>
      </c>
      <c r="BM15" s="155">
        <f t="shared" si="43"/>
        <v>0</v>
      </c>
      <c r="BN15" s="22" t="s">
        <v>199</v>
      </c>
      <c r="BO15" s="153" t="s">
        <v>199</v>
      </c>
      <c r="BP15" s="157">
        <f t="shared" si="44"/>
        <v>0.26009883969439346</v>
      </c>
      <c r="BQ15" s="154">
        <f t="shared" si="45"/>
        <v>6.1658654201944663E-2</v>
      </c>
      <c r="BR15" s="133">
        <f t="shared" si="46"/>
        <v>1999043.5231309952</v>
      </c>
      <c r="BS15" s="158">
        <f t="shared" si="47"/>
        <v>0</v>
      </c>
      <c r="BT15" s="22" t="s">
        <v>199</v>
      </c>
      <c r="BU15" s="153" t="s">
        <v>199</v>
      </c>
      <c r="BV15" s="157">
        <f t="shared" si="48"/>
        <v>0.26009883969439346</v>
      </c>
      <c r="BW15" s="154">
        <f t="shared" si="49"/>
        <v>6.1658654201944663E-2</v>
      </c>
      <c r="BX15" s="133">
        <f t="shared" si="50"/>
        <v>1999043.5231309952</v>
      </c>
      <c r="BY15" s="158">
        <f t="shared" si="51"/>
        <v>0</v>
      </c>
      <c r="BZ15" s="22" t="s">
        <v>199</v>
      </c>
      <c r="CA15" s="153" t="s">
        <v>199</v>
      </c>
      <c r="CB15" s="157">
        <f t="shared" si="52"/>
        <v>0.26009883969439346</v>
      </c>
      <c r="CC15" s="154">
        <f t="shared" si="53"/>
        <v>6.1658654201944663E-2</v>
      </c>
      <c r="CD15" s="133">
        <f t="shared" si="54"/>
        <v>1999043.5231309952</v>
      </c>
      <c r="CE15" s="158">
        <f t="shared" si="55"/>
        <v>0</v>
      </c>
      <c r="CF15" s="22" t="s">
        <v>199</v>
      </c>
      <c r="CG15" s="153" t="s">
        <v>199</v>
      </c>
      <c r="CH15" s="157">
        <f t="shared" si="56"/>
        <v>0.26009883969439346</v>
      </c>
      <c r="CI15" s="154">
        <f t="shared" si="57"/>
        <v>6.1658654201944663E-2</v>
      </c>
      <c r="CJ15" s="133">
        <f t="shared" si="58"/>
        <v>1999043.5231309952</v>
      </c>
      <c r="CK15" s="158">
        <f t="shared" si="59"/>
        <v>0</v>
      </c>
      <c r="CL15" s="22" t="s">
        <v>199</v>
      </c>
      <c r="CM15" s="153" t="s">
        <v>199</v>
      </c>
      <c r="CN15" s="157">
        <f t="shared" si="60"/>
        <v>0.26009883969439346</v>
      </c>
      <c r="CO15" s="154">
        <f t="shared" si="61"/>
        <v>6.1658654201944663E-2</v>
      </c>
      <c r="CP15" s="133">
        <f t="shared" si="62"/>
        <v>1999043.5231309952</v>
      </c>
      <c r="CQ15" s="158">
        <f t="shared" si="63"/>
        <v>0</v>
      </c>
      <c r="CR15" s="22" t="s">
        <v>199</v>
      </c>
      <c r="CS15" s="153" t="s">
        <v>199</v>
      </c>
      <c r="CT15" s="157">
        <f t="shared" si="64"/>
        <v>0.26009883969439346</v>
      </c>
      <c r="CU15" s="154">
        <f t="shared" si="65"/>
        <v>6.1658654201944663E-2</v>
      </c>
      <c r="CV15" s="133">
        <f t="shared" si="66"/>
        <v>1999043.5231309952</v>
      </c>
      <c r="CW15" s="158">
        <f t="shared" si="67"/>
        <v>0</v>
      </c>
      <c r="CX15" s="22" t="s">
        <v>199</v>
      </c>
      <c r="CY15" s="153" t="s">
        <v>199</v>
      </c>
      <c r="CZ15" s="157">
        <f t="shared" si="68"/>
        <v>0.26009883969439346</v>
      </c>
      <c r="DA15" s="154">
        <f t="shared" si="69"/>
        <v>6.1658654201944663E-2</v>
      </c>
      <c r="DB15" s="133">
        <f t="shared" si="70"/>
        <v>1999043.5231309952</v>
      </c>
      <c r="DC15" s="158">
        <f t="shared" si="71"/>
        <v>0</v>
      </c>
      <c r="DD15" s="22" t="s">
        <v>199</v>
      </c>
      <c r="DE15" s="153" t="s">
        <v>199</v>
      </c>
      <c r="DF15" s="157">
        <f t="shared" si="72"/>
        <v>0.26009883969439346</v>
      </c>
      <c r="DG15" s="154">
        <f t="shared" si="73"/>
        <v>6.1658654201944663E-2</v>
      </c>
      <c r="DH15" s="133">
        <f t="shared" si="74"/>
        <v>1999043.5231309952</v>
      </c>
      <c r="DI15" s="158">
        <f t="shared" si="75"/>
        <v>0</v>
      </c>
      <c r="DJ15" s="22" t="s">
        <v>199</v>
      </c>
      <c r="DK15" s="153" t="s">
        <v>199</v>
      </c>
      <c r="DL15" s="157">
        <f t="shared" si="76"/>
        <v>0.26009883969439346</v>
      </c>
      <c r="DM15" s="154">
        <f t="shared" si="77"/>
        <v>6.1658654201944663E-2</v>
      </c>
      <c r="DN15" s="133">
        <f t="shared" si="78"/>
        <v>1999043.5231309952</v>
      </c>
      <c r="DO15" s="158">
        <f t="shared" si="79"/>
        <v>0</v>
      </c>
      <c r="DP15" s="22" t="s">
        <v>199</v>
      </c>
      <c r="DQ15" s="153" t="s">
        <v>199</v>
      </c>
      <c r="DR15" s="157">
        <f t="shared" si="80"/>
        <v>0.26009883969439346</v>
      </c>
      <c r="DS15" s="154">
        <f t="shared" si="81"/>
        <v>6.1658654201944663E-2</v>
      </c>
      <c r="DT15" s="133">
        <f t="shared" si="82"/>
        <v>1999043.5231309952</v>
      </c>
      <c r="DU15" s="158">
        <f t="shared" si="83"/>
        <v>0</v>
      </c>
      <c r="DV15" s="22" t="s">
        <v>199</v>
      </c>
      <c r="DW15" s="153" t="s">
        <v>199</v>
      </c>
      <c r="DX15" s="157">
        <f t="shared" si="84"/>
        <v>0.26009883969439346</v>
      </c>
      <c r="DY15" s="154">
        <f t="shared" si="85"/>
        <v>6.1658654201944663E-2</v>
      </c>
      <c r="DZ15" s="138">
        <f t="shared" si="86"/>
        <v>1999043.5231309952</v>
      </c>
      <c r="EA15" s="155">
        <f t="shared" si="87"/>
        <v>0</v>
      </c>
      <c r="EB15" s="22" t="s">
        <v>199</v>
      </c>
      <c r="EC15" s="153" t="s">
        <v>199</v>
      </c>
      <c r="ED15" s="157">
        <f t="shared" si="88"/>
        <v>0.26009883969439346</v>
      </c>
      <c r="EE15" s="154">
        <f t="shared" si="89"/>
        <v>6.1658654201944663E-2</v>
      </c>
      <c r="EF15" s="138">
        <f t="shared" si="90"/>
        <v>1999043.5231309952</v>
      </c>
      <c r="EG15" s="155">
        <f t="shared" si="91"/>
        <v>0</v>
      </c>
      <c r="EH15" s="22" t="s">
        <v>199</v>
      </c>
      <c r="EI15" s="153" t="s">
        <v>199</v>
      </c>
      <c r="EJ15" s="157">
        <f t="shared" si="92"/>
        <v>0.26009883969439346</v>
      </c>
      <c r="EK15" s="154">
        <f t="shared" si="93"/>
        <v>6.1658654201944663E-2</v>
      </c>
      <c r="EL15" s="138">
        <f t="shared" si="94"/>
        <v>1999043.5231309952</v>
      </c>
      <c r="EM15" s="155">
        <f t="shared" si="95"/>
        <v>0</v>
      </c>
      <c r="EN15" s="22" t="s">
        <v>199</v>
      </c>
      <c r="EO15" s="153" t="s">
        <v>199</v>
      </c>
      <c r="EP15" s="157">
        <f t="shared" si="96"/>
        <v>0.26009883969439346</v>
      </c>
      <c r="EQ15" s="154">
        <f t="shared" si="97"/>
        <v>6.1658654201944663E-2</v>
      </c>
      <c r="ER15" s="138">
        <f t="shared" si="98"/>
        <v>1999043.5231309952</v>
      </c>
      <c r="ES15" s="155">
        <f t="shared" si="99"/>
        <v>0</v>
      </c>
      <c r="ET15" s="22" t="s">
        <v>199</v>
      </c>
      <c r="EU15" s="153" t="s">
        <v>199</v>
      </c>
      <c r="EV15" s="157">
        <f t="shared" si="100"/>
        <v>0.26009883969439346</v>
      </c>
      <c r="EW15" s="154">
        <f t="shared" si="101"/>
        <v>6.1658654201944663E-2</v>
      </c>
      <c r="EX15" s="138">
        <f t="shared" si="102"/>
        <v>1999043.5231309952</v>
      </c>
      <c r="EY15" s="155">
        <f t="shared" si="103"/>
        <v>0</v>
      </c>
      <c r="EZ15" s="22" t="s">
        <v>199</v>
      </c>
      <c r="FA15" s="153" t="s">
        <v>199</v>
      </c>
      <c r="FB15" s="157">
        <f t="shared" si="104"/>
        <v>0.26009883969439346</v>
      </c>
      <c r="FC15" s="154">
        <f t="shared" si="105"/>
        <v>6.1658654201944663E-2</v>
      </c>
      <c r="FD15" s="138">
        <f t="shared" si="106"/>
        <v>1999043.5231309952</v>
      </c>
      <c r="FE15" s="155">
        <f t="shared" si="107"/>
        <v>0</v>
      </c>
      <c r="FF15" s="22" t="s">
        <v>199</v>
      </c>
      <c r="FG15" s="153" t="s">
        <v>199</v>
      </c>
      <c r="FH15" s="157">
        <f t="shared" si="108"/>
        <v>0.26009883969439346</v>
      </c>
      <c r="FI15" s="154">
        <f t="shared" si="109"/>
        <v>6.1658654201944663E-2</v>
      </c>
      <c r="FJ15" s="138">
        <f t="shared" si="110"/>
        <v>1999043.5231309952</v>
      </c>
      <c r="FK15" s="155">
        <f t="shared" si="111"/>
        <v>0</v>
      </c>
      <c r="FL15" s="22" t="s">
        <v>199</v>
      </c>
      <c r="FM15" s="153" t="s">
        <v>199</v>
      </c>
      <c r="FN15" s="157">
        <f t="shared" si="112"/>
        <v>0.26009883969439346</v>
      </c>
      <c r="FO15" s="154">
        <f t="shared" si="113"/>
        <v>6.1658654201944663E-2</v>
      </c>
      <c r="FP15" s="138">
        <f t="shared" si="114"/>
        <v>1999043.5231309952</v>
      </c>
      <c r="FQ15" s="155">
        <f t="shared" si="115"/>
        <v>0</v>
      </c>
      <c r="FR15" s="22" t="s">
        <v>199</v>
      </c>
      <c r="FS15" s="153" t="s">
        <v>199</v>
      </c>
      <c r="FT15" s="157">
        <f t="shared" si="116"/>
        <v>0.26009883969439346</v>
      </c>
      <c r="FU15" s="154">
        <f t="shared" si="117"/>
        <v>6.1658654201944663E-2</v>
      </c>
      <c r="FV15" s="138">
        <f t="shared" si="118"/>
        <v>1999043.5231309952</v>
      </c>
      <c r="FW15" s="155">
        <f t="shared" si="119"/>
        <v>0</v>
      </c>
      <c r="FX15" s="22" t="s">
        <v>199</v>
      </c>
      <c r="FY15" s="153" t="s">
        <v>199</v>
      </c>
      <c r="FZ15" s="157">
        <f t="shared" si="120"/>
        <v>0.26009883969439346</v>
      </c>
      <c r="GA15" s="154">
        <f t="shared" si="121"/>
        <v>6.1658654201944663E-2</v>
      </c>
      <c r="GB15" s="138">
        <f t="shared" si="122"/>
        <v>1999043.5231309952</v>
      </c>
      <c r="GC15" s="155">
        <f t="shared" si="123"/>
        <v>0</v>
      </c>
      <c r="GD15" s="22" t="s">
        <v>199</v>
      </c>
      <c r="GE15" s="153" t="s">
        <v>199</v>
      </c>
      <c r="GF15" s="157">
        <f t="shared" si="124"/>
        <v>0.26009883969439346</v>
      </c>
      <c r="GG15" s="154">
        <f t="shared" si="125"/>
        <v>6.1658654201944663E-2</v>
      </c>
      <c r="GH15" s="138">
        <f t="shared" si="126"/>
        <v>1999043.5231309952</v>
      </c>
      <c r="GI15" s="158">
        <f t="shared" si="127"/>
        <v>0</v>
      </c>
      <c r="GJ15" s="159">
        <f t="shared" si="128"/>
        <v>2142891.4739336409</v>
      </c>
      <c r="GK15" s="160">
        <f t="shared" si="129"/>
        <v>2257763.5230048732</v>
      </c>
      <c r="GL15" s="161">
        <f t="shared" si="130"/>
        <v>0.2600988396943934</v>
      </c>
      <c r="GM15" s="160">
        <v>2257763.52</v>
      </c>
    </row>
    <row r="16" spans="1:195" s="20" customFormat="1" x14ac:dyDescent="0.25">
      <c r="A16" s="162" t="s">
        <v>25</v>
      </c>
      <c r="B16" s="145" t="s">
        <v>199</v>
      </c>
      <c r="C16" s="145" t="s">
        <v>199</v>
      </c>
      <c r="D16" s="145" t="s">
        <v>199</v>
      </c>
      <c r="E16" s="145" t="s">
        <v>199</v>
      </c>
      <c r="F16" s="145" t="s">
        <v>199</v>
      </c>
      <c r="G16" s="146">
        <f>'Исходные данные'!C18</f>
        <v>845</v>
      </c>
      <c r="H16" s="147">
        <f>'Исходные данные'!D18</f>
        <v>920554</v>
      </c>
      <c r="I16" s="148">
        <f>'Расчет КРП'!G14</f>
        <v>15.749127249461571</v>
      </c>
      <c r="J16" s="149" t="s">
        <v>199</v>
      </c>
      <c r="K16" s="150">
        <f t="shared" si="6"/>
        <v>6.1534566488288006E-2</v>
      </c>
      <c r="L16" s="151">
        <f t="shared" si="7"/>
        <v>178760.37102245196</v>
      </c>
      <c r="M16" s="152">
        <f t="shared" si="8"/>
        <v>7.3483829580026361E-2</v>
      </c>
      <c r="N16" s="153" t="s">
        <v>199</v>
      </c>
      <c r="O16" s="154">
        <f t="shared" si="9"/>
        <v>0.10021959923799875</v>
      </c>
      <c r="P16" s="138">
        <f t="shared" si="10"/>
        <v>1781430.3569632918</v>
      </c>
      <c r="Q16" s="155">
        <f t="shared" si="11"/>
        <v>1781430.3569632918</v>
      </c>
      <c r="R16" s="156" t="s">
        <v>199</v>
      </c>
      <c r="S16" s="153" t="s">
        <v>199</v>
      </c>
      <c r="T16" s="157">
        <f t="shared" si="12"/>
        <v>0.19256380179763913</v>
      </c>
      <c r="U16" s="154">
        <f t="shared" si="13"/>
        <v>6.7501874806229628E-2</v>
      </c>
      <c r="V16" s="133">
        <f t="shared" si="14"/>
        <v>2186572.0617516073</v>
      </c>
      <c r="W16" s="155">
        <f t="shared" si="15"/>
        <v>1010326.1539697496</v>
      </c>
      <c r="X16" s="22" t="s">
        <v>199</v>
      </c>
      <c r="Y16" s="153" t="s">
        <v>199</v>
      </c>
      <c r="Z16" s="157">
        <f t="shared" si="16"/>
        <v>0.26009920102061562</v>
      </c>
      <c r="AA16" s="154">
        <f t="shared" si="17"/>
        <v>6.1658292875722498E-2</v>
      </c>
      <c r="AB16" s="133">
        <f t="shared" si="18"/>
        <v>2658283.086905777</v>
      </c>
      <c r="AC16" s="155">
        <f t="shared" si="19"/>
        <v>0</v>
      </c>
      <c r="AD16" s="22" t="s">
        <v>199</v>
      </c>
      <c r="AE16" s="153" t="s">
        <v>199</v>
      </c>
      <c r="AF16" s="157">
        <f t="shared" si="20"/>
        <v>0.26009920102061562</v>
      </c>
      <c r="AG16" s="154">
        <f t="shared" si="21"/>
        <v>6.1658292875722498E-2</v>
      </c>
      <c r="AH16" s="133">
        <f t="shared" si="22"/>
        <v>2658283.086905777</v>
      </c>
      <c r="AI16" s="155">
        <f t="shared" si="23"/>
        <v>0</v>
      </c>
      <c r="AJ16" s="22" t="s">
        <v>199</v>
      </c>
      <c r="AK16" s="153" t="s">
        <v>199</v>
      </c>
      <c r="AL16" s="157">
        <f t="shared" si="24"/>
        <v>0.26009920102061562</v>
      </c>
      <c r="AM16" s="154">
        <f t="shared" si="25"/>
        <v>6.1658292875722498E-2</v>
      </c>
      <c r="AN16" s="133">
        <f t="shared" si="26"/>
        <v>2658283.086905777</v>
      </c>
      <c r="AO16" s="155">
        <f t="shared" si="27"/>
        <v>0</v>
      </c>
      <c r="AP16" s="22" t="s">
        <v>199</v>
      </c>
      <c r="AQ16" s="153" t="s">
        <v>199</v>
      </c>
      <c r="AR16" s="157">
        <f t="shared" si="28"/>
        <v>0.26009920102061562</v>
      </c>
      <c r="AS16" s="154">
        <f t="shared" si="29"/>
        <v>6.1658292875722498E-2</v>
      </c>
      <c r="AT16" s="133">
        <f t="shared" si="30"/>
        <v>2658283.086905777</v>
      </c>
      <c r="AU16" s="155">
        <f t="shared" si="31"/>
        <v>0</v>
      </c>
      <c r="AV16" s="22" t="s">
        <v>199</v>
      </c>
      <c r="AW16" s="153" t="s">
        <v>199</v>
      </c>
      <c r="AX16" s="157">
        <f t="shared" si="32"/>
        <v>0.26009920102061562</v>
      </c>
      <c r="AY16" s="154">
        <f t="shared" si="33"/>
        <v>6.1658292875722498E-2</v>
      </c>
      <c r="AZ16" s="133">
        <f t="shared" si="34"/>
        <v>2658283.086905777</v>
      </c>
      <c r="BA16" s="155">
        <f t="shared" si="35"/>
        <v>0</v>
      </c>
      <c r="BB16" s="22" t="s">
        <v>199</v>
      </c>
      <c r="BC16" s="153" t="s">
        <v>199</v>
      </c>
      <c r="BD16" s="157">
        <f t="shared" si="36"/>
        <v>0.26009920102061562</v>
      </c>
      <c r="BE16" s="154">
        <f t="shared" si="37"/>
        <v>6.1658292875722498E-2</v>
      </c>
      <c r="BF16" s="133">
        <f t="shared" si="38"/>
        <v>2658283.086905777</v>
      </c>
      <c r="BG16" s="155">
        <f t="shared" si="39"/>
        <v>0</v>
      </c>
      <c r="BH16" s="22" t="s">
        <v>199</v>
      </c>
      <c r="BI16" s="153" t="s">
        <v>199</v>
      </c>
      <c r="BJ16" s="157">
        <f t="shared" si="40"/>
        <v>0.26009920102061562</v>
      </c>
      <c r="BK16" s="154">
        <f t="shared" si="41"/>
        <v>6.1658292875722498E-2</v>
      </c>
      <c r="BL16" s="133">
        <f t="shared" si="42"/>
        <v>2658283.086905777</v>
      </c>
      <c r="BM16" s="155">
        <f t="shared" si="43"/>
        <v>0</v>
      </c>
      <c r="BN16" s="22" t="s">
        <v>199</v>
      </c>
      <c r="BO16" s="153" t="s">
        <v>199</v>
      </c>
      <c r="BP16" s="157">
        <f t="shared" si="44"/>
        <v>0.26009920102061562</v>
      </c>
      <c r="BQ16" s="154">
        <f t="shared" si="45"/>
        <v>6.1658292875722498E-2</v>
      </c>
      <c r="BR16" s="133">
        <f t="shared" si="46"/>
        <v>2658283.086905777</v>
      </c>
      <c r="BS16" s="158">
        <f t="shared" si="47"/>
        <v>0</v>
      </c>
      <c r="BT16" s="22" t="s">
        <v>199</v>
      </c>
      <c r="BU16" s="153" t="s">
        <v>199</v>
      </c>
      <c r="BV16" s="157">
        <f t="shared" si="48"/>
        <v>0.26009920102061562</v>
      </c>
      <c r="BW16" s="154">
        <f t="shared" si="49"/>
        <v>6.1658292875722498E-2</v>
      </c>
      <c r="BX16" s="133">
        <f t="shared" si="50"/>
        <v>2658283.086905777</v>
      </c>
      <c r="BY16" s="158">
        <f t="shared" si="51"/>
        <v>0</v>
      </c>
      <c r="BZ16" s="22" t="s">
        <v>199</v>
      </c>
      <c r="CA16" s="153" t="s">
        <v>199</v>
      </c>
      <c r="CB16" s="157">
        <f t="shared" si="52"/>
        <v>0.26009920102061562</v>
      </c>
      <c r="CC16" s="154">
        <f t="shared" si="53"/>
        <v>6.1658292875722498E-2</v>
      </c>
      <c r="CD16" s="133">
        <f t="shared" si="54"/>
        <v>2658283.086905777</v>
      </c>
      <c r="CE16" s="158">
        <f t="shared" si="55"/>
        <v>0</v>
      </c>
      <c r="CF16" s="22" t="s">
        <v>199</v>
      </c>
      <c r="CG16" s="153" t="s">
        <v>199</v>
      </c>
      <c r="CH16" s="157">
        <f t="shared" si="56"/>
        <v>0.26009920102061562</v>
      </c>
      <c r="CI16" s="154">
        <f t="shared" si="57"/>
        <v>6.1658292875722498E-2</v>
      </c>
      <c r="CJ16" s="133">
        <f t="shared" si="58"/>
        <v>2658283.086905777</v>
      </c>
      <c r="CK16" s="158">
        <f t="shared" si="59"/>
        <v>0</v>
      </c>
      <c r="CL16" s="22" t="s">
        <v>199</v>
      </c>
      <c r="CM16" s="153" t="s">
        <v>199</v>
      </c>
      <c r="CN16" s="157">
        <f t="shared" si="60"/>
        <v>0.26009920102061562</v>
      </c>
      <c r="CO16" s="154">
        <f t="shared" si="61"/>
        <v>6.1658292875722498E-2</v>
      </c>
      <c r="CP16" s="133">
        <f t="shared" si="62"/>
        <v>2658283.086905777</v>
      </c>
      <c r="CQ16" s="158">
        <f t="shared" si="63"/>
        <v>0</v>
      </c>
      <c r="CR16" s="22" t="s">
        <v>199</v>
      </c>
      <c r="CS16" s="153" t="s">
        <v>199</v>
      </c>
      <c r="CT16" s="157">
        <f t="shared" si="64"/>
        <v>0.26009920102061562</v>
      </c>
      <c r="CU16" s="154">
        <f t="shared" si="65"/>
        <v>6.1658292875722498E-2</v>
      </c>
      <c r="CV16" s="133">
        <f t="shared" si="66"/>
        <v>2658283.086905777</v>
      </c>
      <c r="CW16" s="158">
        <f t="shared" si="67"/>
        <v>0</v>
      </c>
      <c r="CX16" s="22" t="s">
        <v>199</v>
      </c>
      <c r="CY16" s="153" t="s">
        <v>199</v>
      </c>
      <c r="CZ16" s="157">
        <f t="shared" si="68"/>
        <v>0.26009920102061562</v>
      </c>
      <c r="DA16" s="154">
        <f t="shared" si="69"/>
        <v>6.1658292875722498E-2</v>
      </c>
      <c r="DB16" s="133">
        <f t="shared" si="70"/>
        <v>2658283.086905777</v>
      </c>
      <c r="DC16" s="158">
        <f t="shared" si="71"/>
        <v>0</v>
      </c>
      <c r="DD16" s="22" t="s">
        <v>199</v>
      </c>
      <c r="DE16" s="153" t="s">
        <v>199</v>
      </c>
      <c r="DF16" s="157">
        <f t="shared" si="72"/>
        <v>0.26009920102061562</v>
      </c>
      <c r="DG16" s="154">
        <f t="shared" si="73"/>
        <v>6.1658292875722498E-2</v>
      </c>
      <c r="DH16" s="133">
        <f t="shared" si="74"/>
        <v>2658283.086905777</v>
      </c>
      <c r="DI16" s="158">
        <f t="shared" si="75"/>
        <v>0</v>
      </c>
      <c r="DJ16" s="22" t="s">
        <v>199</v>
      </c>
      <c r="DK16" s="153" t="s">
        <v>199</v>
      </c>
      <c r="DL16" s="157">
        <f t="shared" si="76"/>
        <v>0.26009920102061562</v>
      </c>
      <c r="DM16" s="154">
        <f t="shared" si="77"/>
        <v>6.1658292875722498E-2</v>
      </c>
      <c r="DN16" s="133">
        <f t="shared" si="78"/>
        <v>2658283.086905777</v>
      </c>
      <c r="DO16" s="158">
        <f t="shared" si="79"/>
        <v>0</v>
      </c>
      <c r="DP16" s="22" t="s">
        <v>199</v>
      </c>
      <c r="DQ16" s="153" t="s">
        <v>199</v>
      </c>
      <c r="DR16" s="157">
        <f t="shared" si="80"/>
        <v>0.26009920102061562</v>
      </c>
      <c r="DS16" s="154">
        <f t="shared" si="81"/>
        <v>6.1658292875722498E-2</v>
      </c>
      <c r="DT16" s="133">
        <f t="shared" si="82"/>
        <v>2658283.086905777</v>
      </c>
      <c r="DU16" s="158">
        <f t="shared" si="83"/>
        <v>0</v>
      </c>
      <c r="DV16" s="22" t="s">
        <v>199</v>
      </c>
      <c r="DW16" s="153" t="s">
        <v>199</v>
      </c>
      <c r="DX16" s="157">
        <f t="shared" si="84"/>
        <v>0.26009920102061562</v>
      </c>
      <c r="DY16" s="154">
        <f t="shared" si="85"/>
        <v>6.1658292875722498E-2</v>
      </c>
      <c r="DZ16" s="138">
        <f t="shared" si="86"/>
        <v>2658283.086905777</v>
      </c>
      <c r="EA16" s="155">
        <f t="shared" si="87"/>
        <v>0</v>
      </c>
      <c r="EB16" s="22" t="s">
        <v>199</v>
      </c>
      <c r="EC16" s="153" t="s">
        <v>199</v>
      </c>
      <c r="ED16" s="157">
        <f t="shared" si="88"/>
        <v>0.26009920102061562</v>
      </c>
      <c r="EE16" s="154">
        <f t="shared" si="89"/>
        <v>6.1658292875722498E-2</v>
      </c>
      <c r="EF16" s="138">
        <f t="shared" si="90"/>
        <v>2658283.086905777</v>
      </c>
      <c r="EG16" s="155">
        <f t="shared" si="91"/>
        <v>0</v>
      </c>
      <c r="EH16" s="22" t="s">
        <v>199</v>
      </c>
      <c r="EI16" s="153" t="s">
        <v>199</v>
      </c>
      <c r="EJ16" s="157">
        <f t="shared" si="92"/>
        <v>0.26009920102061562</v>
      </c>
      <c r="EK16" s="154">
        <f t="shared" si="93"/>
        <v>6.1658292875722498E-2</v>
      </c>
      <c r="EL16" s="138">
        <f t="shared" si="94"/>
        <v>2658283.086905777</v>
      </c>
      <c r="EM16" s="155">
        <f t="shared" si="95"/>
        <v>0</v>
      </c>
      <c r="EN16" s="22" t="s">
        <v>199</v>
      </c>
      <c r="EO16" s="153" t="s">
        <v>199</v>
      </c>
      <c r="EP16" s="157">
        <f t="shared" si="96"/>
        <v>0.26009920102061562</v>
      </c>
      <c r="EQ16" s="154">
        <f t="shared" si="97"/>
        <v>6.1658292875722498E-2</v>
      </c>
      <c r="ER16" s="138">
        <f t="shared" si="98"/>
        <v>2658283.086905777</v>
      </c>
      <c r="ES16" s="155">
        <f t="shared" si="99"/>
        <v>0</v>
      </c>
      <c r="ET16" s="22" t="s">
        <v>199</v>
      </c>
      <c r="EU16" s="153" t="s">
        <v>199</v>
      </c>
      <c r="EV16" s="157">
        <f t="shared" si="100"/>
        <v>0.26009920102061562</v>
      </c>
      <c r="EW16" s="154">
        <f t="shared" si="101"/>
        <v>6.1658292875722498E-2</v>
      </c>
      <c r="EX16" s="138">
        <f t="shared" si="102"/>
        <v>2658283.086905777</v>
      </c>
      <c r="EY16" s="155">
        <f t="shared" si="103"/>
        <v>0</v>
      </c>
      <c r="EZ16" s="22" t="s">
        <v>199</v>
      </c>
      <c r="FA16" s="153" t="s">
        <v>199</v>
      </c>
      <c r="FB16" s="157">
        <f t="shared" si="104"/>
        <v>0.26009920102061562</v>
      </c>
      <c r="FC16" s="154">
        <f t="shared" si="105"/>
        <v>6.1658292875722498E-2</v>
      </c>
      <c r="FD16" s="138">
        <f t="shared" si="106"/>
        <v>2658283.086905777</v>
      </c>
      <c r="FE16" s="155">
        <f t="shared" si="107"/>
        <v>0</v>
      </c>
      <c r="FF16" s="22" t="s">
        <v>199</v>
      </c>
      <c r="FG16" s="153" t="s">
        <v>199</v>
      </c>
      <c r="FH16" s="157">
        <f t="shared" si="108"/>
        <v>0.26009920102061562</v>
      </c>
      <c r="FI16" s="154">
        <f t="shared" si="109"/>
        <v>6.1658292875722498E-2</v>
      </c>
      <c r="FJ16" s="138">
        <f t="shared" si="110"/>
        <v>2658283.086905777</v>
      </c>
      <c r="FK16" s="155">
        <f t="shared" si="111"/>
        <v>0</v>
      </c>
      <c r="FL16" s="22" t="s">
        <v>199</v>
      </c>
      <c r="FM16" s="153" t="s">
        <v>199</v>
      </c>
      <c r="FN16" s="157">
        <f t="shared" si="112"/>
        <v>0.26009920102061562</v>
      </c>
      <c r="FO16" s="154">
        <f t="shared" si="113"/>
        <v>6.1658292875722498E-2</v>
      </c>
      <c r="FP16" s="138">
        <f t="shared" si="114"/>
        <v>2658283.086905777</v>
      </c>
      <c r="FQ16" s="155">
        <f t="shared" si="115"/>
        <v>0</v>
      </c>
      <c r="FR16" s="22" t="s">
        <v>199</v>
      </c>
      <c r="FS16" s="153" t="s">
        <v>199</v>
      </c>
      <c r="FT16" s="157">
        <f t="shared" si="116"/>
        <v>0.26009920102061562</v>
      </c>
      <c r="FU16" s="154">
        <f t="shared" si="117"/>
        <v>6.1658292875722498E-2</v>
      </c>
      <c r="FV16" s="138">
        <f t="shared" si="118"/>
        <v>2658283.086905777</v>
      </c>
      <c r="FW16" s="155">
        <f t="shared" si="119"/>
        <v>0</v>
      </c>
      <c r="FX16" s="22" t="s">
        <v>199</v>
      </c>
      <c r="FY16" s="153" t="s">
        <v>199</v>
      </c>
      <c r="FZ16" s="157">
        <f t="shared" si="120"/>
        <v>0.26009920102061562</v>
      </c>
      <c r="GA16" s="154">
        <f t="shared" si="121"/>
        <v>6.1658292875722498E-2</v>
      </c>
      <c r="GB16" s="138">
        <f t="shared" si="122"/>
        <v>2658283.086905777</v>
      </c>
      <c r="GC16" s="155">
        <f t="shared" si="123"/>
        <v>0</v>
      </c>
      <c r="GD16" s="22" t="s">
        <v>199</v>
      </c>
      <c r="GE16" s="153" t="s">
        <v>199</v>
      </c>
      <c r="GF16" s="157">
        <f t="shared" si="124"/>
        <v>0.26009920102061562</v>
      </c>
      <c r="GG16" s="154">
        <f t="shared" si="125"/>
        <v>6.1658292875722498E-2</v>
      </c>
      <c r="GH16" s="138">
        <f t="shared" si="126"/>
        <v>2658283.086905777</v>
      </c>
      <c r="GI16" s="158">
        <f t="shared" si="127"/>
        <v>0</v>
      </c>
      <c r="GJ16" s="159">
        <f t="shared" si="128"/>
        <v>2791756.5109330416</v>
      </c>
      <c r="GK16" s="160">
        <f t="shared" si="129"/>
        <v>2970516.8819554937</v>
      </c>
      <c r="GL16" s="161">
        <f t="shared" si="130"/>
        <v>0.26009920102061557</v>
      </c>
      <c r="GM16" s="160">
        <v>2970516.88</v>
      </c>
    </row>
    <row r="17" spans="1:195" s="20" customFormat="1" x14ac:dyDescent="0.25">
      <c r="A17" s="162" t="s">
        <v>26</v>
      </c>
      <c r="B17" s="145" t="s">
        <v>199</v>
      </c>
      <c r="C17" s="145" t="s">
        <v>199</v>
      </c>
      <c r="D17" s="145" t="s">
        <v>199</v>
      </c>
      <c r="E17" s="145" t="s">
        <v>199</v>
      </c>
      <c r="F17" s="145" t="s">
        <v>199</v>
      </c>
      <c r="G17" s="146">
        <f>'Исходные данные'!C19</f>
        <v>953</v>
      </c>
      <c r="H17" s="147">
        <f>'Исходные данные'!D19</f>
        <v>1143729</v>
      </c>
      <c r="I17" s="148">
        <f>'Расчет КРП'!G15</f>
        <v>8.9488614142433605</v>
      </c>
      <c r="J17" s="149" t="s">
        <v>199</v>
      </c>
      <c r="K17" s="150">
        <f t="shared" si="6"/>
        <v>0.11930139634017149</v>
      </c>
      <c r="L17" s="151">
        <f t="shared" si="7"/>
        <v>201607.85039573579</v>
      </c>
      <c r="M17" s="152">
        <f t="shared" si="8"/>
        <v>0.14033093923481846</v>
      </c>
      <c r="N17" s="153" t="s">
        <v>199</v>
      </c>
      <c r="O17" s="154">
        <f t="shared" si="9"/>
        <v>3.3372489583206655E-2</v>
      </c>
      <c r="P17" s="138">
        <f t="shared" si="10"/>
        <v>380147.61956906546</v>
      </c>
      <c r="Q17" s="155">
        <f t="shared" si="11"/>
        <v>380147.61956906546</v>
      </c>
      <c r="R17" s="156" t="s">
        <v>199</v>
      </c>
      <c r="S17" s="153" t="s">
        <v>199</v>
      </c>
      <c r="T17" s="157">
        <f t="shared" si="12"/>
        <v>0.17998381314986461</v>
      </c>
      <c r="U17" s="154">
        <f t="shared" si="13"/>
        <v>8.0081863454004143E-2</v>
      </c>
      <c r="V17" s="133">
        <f t="shared" si="14"/>
        <v>1662377.3466121259</v>
      </c>
      <c r="W17" s="155">
        <f t="shared" si="15"/>
        <v>768117.06342924142</v>
      </c>
      <c r="X17" s="22" t="s">
        <v>199</v>
      </c>
      <c r="Y17" s="153" t="s">
        <v>199</v>
      </c>
      <c r="Z17" s="157">
        <f t="shared" si="16"/>
        <v>0.2601054487994115</v>
      </c>
      <c r="AA17" s="154">
        <f t="shared" si="17"/>
        <v>6.1652045096926622E-2</v>
      </c>
      <c r="AB17" s="133">
        <f t="shared" si="18"/>
        <v>1703353.16327286</v>
      </c>
      <c r="AC17" s="155">
        <f t="shared" si="19"/>
        <v>0</v>
      </c>
      <c r="AD17" s="22" t="s">
        <v>199</v>
      </c>
      <c r="AE17" s="153" t="s">
        <v>199</v>
      </c>
      <c r="AF17" s="157">
        <f t="shared" si="20"/>
        <v>0.2601054487994115</v>
      </c>
      <c r="AG17" s="154">
        <f t="shared" si="21"/>
        <v>6.1652045096926622E-2</v>
      </c>
      <c r="AH17" s="133">
        <f t="shared" si="22"/>
        <v>1703353.16327286</v>
      </c>
      <c r="AI17" s="155">
        <f t="shared" si="23"/>
        <v>0</v>
      </c>
      <c r="AJ17" s="22" t="s">
        <v>199</v>
      </c>
      <c r="AK17" s="153" t="s">
        <v>199</v>
      </c>
      <c r="AL17" s="157">
        <f t="shared" si="24"/>
        <v>0.2601054487994115</v>
      </c>
      <c r="AM17" s="154">
        <f t="shared" si="25"/>
        <v>6.1652045096926622E-2</v>
      </c>
      <c r="AN17" s="133">
        <f t="shared" si="26"/>
        <v>1703353.16327286</v>
      </c>
      <c r="AO17" s="155">
        <f t="shared" si="27"/>
        <v>0</v>
      </c>
      <c r="AP17" s="22" t="s">
        <v>199</v>
      </c>
      <c r="AQ17" s="153" t="s">
        <v>199</v>
      </c>
      <c r="AR17" s="157">
        <f t="shared" si="28"/>
        <v>0.2601054487994115</v>
      </c>
      <c r="AS17" s="154">
        <f t="shared" si="29"/>
        <v>6.1652045096926622E-2</v>
      </c>
      <c r="AT17" s="133">
        <f t="shared" si="30"/>
        <v>1703353.16327286</v>
      </c>
      <c r="AU17" s="155">
        <f t="shared" si="31"/>
        <v>0</v>
      </c>
      <c r="AV17" s="22" t="s">
        <v>199</v>
      </c>
      <c r="AW17" s="153" t="s">
        <v>199</v>
      </c>
      <c r="AX17" s="157">
        <f t="shared" si="32"/>
        <v>0.2601054487994115</v>
      </c>
      <c r="AY17" s="154">
        <f t="shared" si="33"/>
        <v>6.1652045096926622E-2</v>
      </c>
      <c r="AZ17" s="133">
        <f t="shared" si="34"/>
        <v>1703353.16327286</v>
      </c>
      <c r="BA17" s="155">
        <f t="shared" si="35"/>
        <v>0</v>
      </c>
      <c r="BB17" s="22" t="s">
        <v>199</v>
      </c>
      <c r="BC17" s="153" t="s">
        <v>199</v>
      </c>
      <c r="BD17" s="157">
        <f t="shared" si="36"/>
        <v>0.2601054487994115</v>
      </c>
      <c r="BE17" s="154">
        <f t="shared" si="37"/>
        <v>6.1652045096926622E-2</v>
      </c>
      <c r="BF17" s="133">
        <f t="shared" si="38"/>
        <v>1703353.16327286</v>
      </c>
      <c r="BG17" s="155">
        <f t="shared" si="39"/>
        <v>0</v>
      </c>
      <c r="BH17" s="22" t="s">
        <v>199</v>
      </c>
      <c r="BI17" s="153" t="s">
        <v>199</v>
      </c>
      <c r="BJ17" s="157">
        <f t="shared" si="40"/>
        <v>0.2601054487994115</v>
      </c>
      <c r="BK17" s="154">
        <f t="shared" si="41"/>
        <v>6.1652045096926622E-2</v>
      </c>
      <c r="BL17" s="133">
        <f t="shared" si="42"/>
        <v>1703353.16327286</v>
      </c>
      <c r="BM17" s="155">
        <f t="shared" si="43"/>
        <v>0</v>
      </c>
      <c r="BN17" s="22" t="s">
        <v>199</v>
      </c>
      <c r="BO17" s="153" t="s">
        <v>199</v>
      </c>
      <c r="BP17" s="157">
        <f t="shared" si="44"/>
        <v>0.2601054487994115</v>
      </c>
      <c r="BQ17" s="154">
        <f t="shared" si="45"/>
        <v>6.1652045096926622E-2</v>
      </c>
      <c r="BR17" s="133">
        <f t="shared" si="46"/>
        <v>1703353.16327286</v>
      </c>
      <c r="BS17" s="158">
        <f t="shared" si="47"/>
        <v>0</v>
      </c>
      <c r="BT17" s="22" t="s">
        <v>199</v>
      </c>
      <c r="BU17" s="153" t="s">
        <v>199</v>
      </c>
      <c r="BV17" s="157">
        <f t="shared" si="48"/>
        <v>0.2601054487994115</v>
      </c>
      <c r="BW17" s="154">
        <f t="shared" si="49"/>
        <v>6.1652045096926622E-2</v>
      </c>
      <c r="BX17" s="133">
        <f t="shared" si="50"/>
        <v>1703353.16327286</v>
      </c>
      <c r="BY17" s="158">
        <f t="shared" si="51"/>
        <v>0</v>
      </c>
      <c r="BZ17" s="22" t="s">
        <v>199</v>
      </c>
      <c r="CA17" s="153" t="s">
        <v>199</v>
      </c>
      <c r="CB17" s="157">
        <f t="shared" si="52"/>
        <v>0.2601054487994115</v>
      </c>
      <c r="CC17" s="154">
        <f t="shared" si="53"/>
        <v>6.1652045096926622E-2</v>
      </c>
      <c r="CD17" s="133">
        <f t="shared" si="54"/>
        <v>1703353.16327286</v>
      </c>
      <c r="CE17" s="158">
        <f t="shared" si="55"/>
        <v>0</v>
      </c>
      <c r="CF17" s="22" t="s">
        <v>199</v>
      </c>
      <c r="CG17" s="153" t="s">
        <v>199</v>
      </c>
      <c r="CH17" s="157">
        <f t="shared" si="56"/>
        <v>0.2601054487994115</v>
      </c>
      <c r="CI17" s="154">
        <f t="shared" si="57"/>
        <v>6.1652045096926622E-2</v>
      </c>
      <c r="CJ17" s="133">
        <f t="shared" si="58"/>
        <v>1703353.16327286</v>
      </c>
      <c r="CK17" s="158">
        <f t="shared" si="59"/>
        <v>0</v>
      </c>
      <c r="CL17" s="22" t="s">
        <v>199</v>
      </c>
      <c r="CM17" s="153" t="s">
        <v>199</v>
      </c>
      <c r="CN17" s="157">
        <f t="shared" si="60"/>
        <v>0.2601054487994115</v>
      </c>
      <c r="CO17" s="154">
        <f t="shared" si="61"/>
        <v>6.1652045096926622E-2</v>
      </c>
      <c r="CP17" s="133">
        <f t="shared" si="62"/>
        <v>1703353.16327286</v>
      </c>
      <c r="CQ17" s="158">
        <f t="shared" si="63"/>
        <v>0</v>
      </c>
      <c r="CR17" s="22" t="s">
        <v>199</v>
      </c>
      <c r="CS17" s="153" t="s">
        <v>199</v>
      </c>
      <c r="CT17" s="157">
        <f t="shared" si="64"/>
        <v>0.2601054487994115</v>
      </c>
      <c r="CU17" s="154">
        <f t="shared" si="65"/>
        <v>6.1652045096926622E-2</v>
      </c>
      <c r="CV17" s="133">
        <f t="shared" si="66"/>
        <v>1703353.16327286</v>
      </c>
      <c r="CW17" s="158">
        <f t="shared" si="67"/>
        <v>0</v>
      </c>
      <c r="CX17" s="22" t="s">
        <v>199</v>
      </c>
      <c r="CY17" s="153" t="s">
        <v>199</v>
      </c>
      <c r="CZ17" s="157">
        <f t="shared" si="68"/>
        <v>0.2601054487994115</v>
      </c>
      <c r="DA17" s="154">
        <f t="shared" si="69"/>
        <v>6.1652045096926622E-2</v>
      </c>
      <c r="DB17" s="133">
        <f t="shared" si="70"/>
        <v>1703353.16327286</v>
      </c>
      <c r="DC17" s="158">
        <f t="shared" si="71"/>
        <v>0</v>
      </c>
      <c r="DD17" s="22" t="s">
        <v>199</v>
      </c>
      <c r="DE17" s="153" t="s">
        <v>199</v>
      </c>
      <c r="DF17" s="157">
        <f t="shared" si="72"/>
        <v>0.2601054487994115</v>
      </c>
      <c r="DG17" s="154">
        <f t="shared" si="73"/>
        <v>6.1652045096926622E-2</v>
      </c>
      <c r="DH17" s="133">
        <f t="shared" si="74"/>
        <v>1703353.16327286</v>
      </c>
      <c r="DI17" s="158">
        <f t="shared" si="75"/>
        <v>0</v>
      </c>
      <c r="DJ17" s="22" t="s">
        <v>199</v>
      </c>
      <c r="DK17" s="153" t="s">
        <v>199</v>
      </c>
      <c r="DL17" s="157">
        <f t="shared" si="76"/>
        <v>0.2601054487994115</v>
      </c>
      <c r="DM17" s="154">
        <f t="shared" si="77"/>
        <v>6.1652045096926622E-2</v>
      </c>
      <c r="DN17" s="133">
        <f t="shared" si="78"/>
        <v>1703353.16327286</v>
      </c>
      <c r="DO17" s="158">
        <f t="shared" si="79"/>
        <v>0</v>
      </c>
      <c r="DP17" s="22" t="s">
        <v>199</v>
      </c>
      <c r="DQ17" s="153" t="s">
        <v>199</v>
      </c>
      <c r="DR17" s="157">
        <f t="shared" si="80"/>
        <v>0.2601054487994115</v>
      </c>
      <c r="DS17" s="154">
        <f t="shared" si="81"/>
        <v>6.1652045096926622E-2</v>
      </c>
      <c r="DT17" s="133">
        <f t="shared" si="82"/>
        <v>1703353.16327286</v>
      </c>
      <c r="DU17" s="158">
        <f t="shared" si="83"/>
        <v>0</v>
      </c>
      <c r="DV17" s="22" t="s">
        <v>199</v>
      </c>
      <c r="DW17" s="153" t="s">
        <v>199</v>
      </c>
      <c r="DX17" s="157">
        <f t="shared" si="84"/>
        <v>0.2601054487994115</v>
      </c>
      <c r="DY17" s="154">
        <f t="shared" si="85"/>
        <v>6.1652045096926622E-2</v>
      </c>
      <c r="DZ17" s="138">
        <f t="shared" si="86"/>
        <v>1703353.16327286</v>
      </c>
      <c r="EA17" s="155">
        <f t="shared" si="87"/>
        <v>0</v>
      </c>
      <c r="EB17" s="22" t="s">
        <v>199</v>
      </c>
      <c r="EC17" s="153" t="s">
        <v>199</v>
      </c>
      <c r="ED17" s="157">
        <f t="shared" si="88"/>
        <v>0.2601054487994115</v>
      </c>
      <c r="EE17" s="154">
        <f t="shared" si="89"/>
        <v>6.1652045096926622E-2</v>
      </c>
      <c r="EF17" s="138">
        <f t="shared" si="90"/>
        <v>1703353.16327286</v>
      </c>
      <c r="EG17" s="155">
        <f t="shared" si="91"/>
        <v>0</v>
      </c>
      <c r="EH17" s="22" t="s">
        <v>199</v>
      </c>
      <c r="EI17" s="153" t="s">
        <v>199</v>
      </c>
      <c r="EJ17" s="157">
        <f t="shared" si="92"/>
        <v>0.2601054487994115</v>
      </c>
      <c r="EK17" s="154">
        <f t="shared" si="93"/>
        <v>6.1652045096926622E-2</v>
      </c>
      <c r="EL17" s="138">
        <f t="shared" si="94"/>
        <v>1703353.16327286</v>
      </c>
      <c r="EM17" s="155">
        <f t="shared" si="95"/>
        <v>0</v>
      </c>
      <c r="EN17" s="22" t="s">
        <v>199</v>
      </c>
      <c r="EO17" s="153" t="s">
        <v>199</v>
      </c>
      <c r="EP17" s="157">
        <f t="shared" si="96"/>
        <v>0.2601054487994115</v>
      </c>
      <c r="EQ17" s="154">
        <f t="shared" si="97"/>
        <v>6.1652045096926622E-2</v>
      </c>
      <c r="ER17" s="138">
        <f t="shared" si="98"/>
        <v>1703353.16327286</v>
      </c>
      <c r="ES17" s="155">
        <f t="shared" si="99"/>
        <v>0</v>
      </c>
      <c r="ET17" s="22" t="s">
        <v>199</v>
      </c>
      <c r="EU17" s="153" t="s">
        <v>199</v>
      </c>
      <c r="EV17" s="157">
        <f t="shared" si="100"/>
        <v>0.2601054487994115</v>
      </c>
      <c r="EW17" s="154">
        <f t="shared" si="101"/>
        <v>6.1652045096926622E-2</v>
      </c>
      <c r="EX17" s="138">
        <f t="shared" si="102"/>
        <v>1703353.16327286</v>
      </c>
      <c r="EY17" s="155">
        <f t="shared" si="103"/>
        <v>0</v>
      </c>
      <c r="EZ17" s="22" t="s">
        <v>199</v>
      </c>
      <c r="FA17" s="153" t="s">
        <v>199</v>
      </c>
      <c r="FB17" s="157">
        <f t="shared" si="104"/>
        <v>0.2601054487994115</v>
      </c>
      <c r="FC17" s="154">
        <f t="shared" si="105"/>
        <v>6.1652045096926622E-2</v>
      </c>
      <c r="FD17" s="138">
        <f t="shared" si="106"/>
        <v>1703353.16327286</v>
      </c>
      <c r="FE17" s="155">
        <f t="shared" si="107"/>
        <v>0</v>
      </c>
      <c r="FF17" s="22" t="s">
        <v>199</v>
      </c>
      <c r="FG17" s="153" t="s">
        <v>199</v>
      </c>
      <c r="FH17" s="157">
        <f t="shared" si="108"/>
        <v>0.2601054487994115</v>
      </c>
      <c r="FI17" s="154">
        <f t="shared" si="109"/>
        <v>6.1652045096926622E-2</v>
      </c>
      <c r="FJ17" s="138">
        <f t="shared" si="110"/>
        <v>1703353.16327286</v>
      </c>
      <c r="FK17" s="155">
        <f t="shared" si="111"/>
        <v>0</v>
      </c>
      <c r="FL17" s="22" t="s">
        <v>199</v>
      </c>
      <c r="FM17" s="153" t="s">
        <v>199</v>
      </c>
      <c r="FN17" s="157">
        <f t="shared" si="112"/>
        <v>0.2601054487994115</v>
      </c>
      <c r="FO17" s="154">
        <f t="shared" si="113"/>
        <v>6.1652045096926622E-2</v>
      </c>
      <c r="FP17" s="138">
        <f t="shared" si="114"/>
        <v>1703353.16327286</v>
      </c>
      <c r="FQ17" s="155">
        <f t="shared" si="115"/>
        <v>0</v>
      </c>
      <c r="FR17" s="22" t="s">
        <v>199</v>
      </c>
      <c r="FS17" s="153" t="s">
        <v>199</v>
      </c>
      <c r="FT17" s="157">
        <f t="shared" si="116"/>
        <v>0.2601054487994115</v>
      </c>
      <c r="FU17" s="154">
        <f t="shared" si="117"/>
        <v>6.1652045096926622E-2</v>
      </c>
      <c r="FV17" s="138">
        <f t="shared" si="118"/>
        <v>1703353.16327286</v>
      </c>
      <c r="FW17" s="155">
        <f t="shared" si="119"/>
        <v>0</v>
      </c>
      <c r="FX17" s="22" t="s">
        <v>199</v>
      </c>
      <c r="FY17" s="153" t="s">
        <v>199</v>
      </c>
      <c r="FZ17" s="157">
        <f t="shared" si="120"/>
        <v>0.2601054487994115</v>
      </c>
      <c r="GA17" s="154">
        <f t="shared" si="121"/>
        <v>6.1652045096926622E-2</v>
      </c>
      <c r="GB17" s="138">
        <f t="shared" si="122"/>
        <v>1703353.16327286</v>
      </c>
      <c r="GC17" s="155">
        <f t="shared" si="123"/>
        <v>0</v>
      </c>
      <c r="GD17" s="22" t="s">
        <v>199</v>
      </c>
      <c r="GE17" s="153" t="s">
        <v>199</v>
      </c>
      <c r="GF17" s="157">
        <f t="shared" si="124"/>
        <v>0.2601054487994115</v>
      </c>
      <c r="GG17" s="154">
        <f t="shared" si="125"/>
        <v>6.1652045096926622E-2</v>
      </c>
      <c r="GH17" s="138">
        <f t="shared" si="126"/>
        <v>1703353.16327286</v>
      </c>
      <c r="GI17" s="158">
        <f t="shared" si="127"/>
        <v>0</v>
      </c>
      <c r="GJ17" s="159">
        <f t="shared" si="128"/>
        <v>1148264.6829983068</v>
      </c>
      <c r="GK17" s="160">
        <f t="shared" si="129"/>
        <v>1349872.5333940426</v>
      </c>
      <c r="GL17" s="161">
        <f t="shared" si="130"/>
        <v>0.2601054487994115</v>
      </c>
      <c r="GM17" s="160">
        <v>1349872.53</v>
      </c>
    </row>
    <row r="18" spans="1:195" s="20" customFormat="1" x14ac:dyDescent="0.25">
      <c r="A18" s="162" t="s">
        <v>27</v>
      </c>
      <c r="B18" s="145" t="s">
        <v>199</v>
      </c>
      <c r="C18" s="145" t="s">
        <v>199</v>
      </c>
      <c r="D18" s="145" t="s">
        <v>199</v>
      </c>
      <c r="E18" s="145" t="s">
        <v>199</v>
      </c>
      <c r="F18" s="145" t="s">
        <v>199</v>
      </c>
      <c r="G18" s="146">
        <f>'Исходные данные'!C20</f>
        <v>948</v>
      </c>
      <c r="H18" s="147">
        <f>'Исходные данные'!D20</f>
        <v>1123949</v>
      </c>
      <c r="I18" s="148">
        <f>'Расчет КРП'!G16</f>
        <v>13.824422596894685</v>
      </c>
      <c r="J18" s="149" t="s">
        <v>199</v>
      </c>
      <c r="K18" s="150">
        <f t="shared" si="6"/>
        <v>7.6291181991884366E-2</v>
      </c>
      <c r="L18" s="151">
        <f t="shared" si="7"/>
        <v>200550.09672104672</v>
      </c>
      <c r="M18" s="152">
        <f t="shared" si="8"/>
        <v>8.9904080733228836E-2</v>
      </c>
      <c r="N18" s="153" t="s">
        <v>199</v>
      </c>
      <c r="O18" s="154">
        <f t="shared" si="9"/>
        <v>8.3799348084796277E-2</v>
      </c>
      <c r="P18" s="138">
        <f t="shared" si="10"/>
        <v>1466894.785261522</v>
      </c>
      <c r="Q18" s="155">
        <f t="shared" si="11"/>
        <v>1466894.785261522</v>
      </c>
      <c r="R18" s="156" t="s">
        <v>199</v>
      </c>
      <c r="S18" s="153" t="s">
        <v>199</v>
      </c>
      <c r="T18" s="157">
        <f t="shared" si="12"/>
        <v>0.18947366709820884</v>
      </c>
      <c r="U18" s="154">
        <f t="shared" si="13"/>
        <v>7.0592009505659914E-2</v>
      </c>
      <c r="V18" s="133">
        <f t="shared" si="14"/>
        <v>2251882.0654118354</v>
      </c>
      <c r="W18" s="155">
        <f t="shared" si="15"/>
        <v>1040503.2544495435</v>
      </c>
      <c r="X18" s="22" t="s">
        <v>199</v>
      </c>
      <c r="Y18" s="153" t="s">
        <v>199</v>
      </c>
      <c r="Z18" s="157">
        <f t="shared" si="16"/>
        <v>0.26010073571818898</v>
      </c>
      <c r="AA18" s="154">
        <f t="shared" si="17"/>
        <v>6.165675817814914E-2</v>
      </c>
      <c r="AB18" s="133">
        <f t="shared" si="18"/>
        <v>2617776.4466625205</v>
      </c>
      <c r="AC18" s="155">
        <f t="shared" si="19"/>
        <v>0</v>
      </c>
      <c r="AD18" s="22" t="s">
        <v>199</v>
      </c>
      <c r="AE18" s="153" t="s">
        <v>199</v>
      </c>
      <c r="AF18" s="157">
        <f t="shared" si="20"/>
        <v>0.26010073571818898</v>
      </c>
      <c r="AG18" s="154">
        <f t="shared" si="21"/>
        <v>6.165675817814914E-2</v>
      </c>
      <c r="AH18" s="133">
        <f t="shared" si="22"/>
        <v>2617776.4466625205</v>
      </c>
      <c r="AI18" s="155">
        <f t="shared" si="23"/>
        <v>0</v>
      </c>
      <c r="AJ18" s="22" t="s">
        <v>199</v>
      </c>
      <c r="AK18" s="153" t="s">
        <v>199</v>
      </c>
      <c r="AL18" s="157">
        <f t="shared" si="24"/>
        <v>0.26010073571818898</v>
      </c>
      <c r="AM18" s="154">
        <f t="shared" si="25"/>
        <v>6.165675817814914E-2</v>
      </c>
      <c r="AN18" s="133">
        <f t="shared" si="26"/>
        <v>2617776.4466625205</v>
      </c>
      <c r="AO18" s="155">
        <f t="shared" si="27"/>
        <v>0</v>
      </c>
      <c r="AP18" s="22" t="s">
        <v>199</v>
      </c>
      <c r="AQ18" s="153" t="s">
        <v>199</v>
      </c>
      <c r="AR18" s="157">
        <f t="shared" si="28"/>
        <v>0.26010073571818898</v>
      </c>
      <c r="AS18" s="154">
        <f t="shared" si="29"/>
        <v>6.165675817814914E-2</v>
      </c>
      <c r="AT18" s="133">
        <f t="shared" si="30"/>
        <v>2617776.4466625205</v>
      </c>
      <c r="AU18" s="155">
        <f t="shared" si="31"/>
        <v>0</v>
      </c>
      <c r="AV18" s="22" t="s">
        <v>199</v>
      </c>
      <c r="AW18" s="153" t="s">
        <v>199</v>
      </c>
      <c r="AX18" s="157">
        <f t="shared" si="32"/>
        <v>0.26010073571818898</v>
      </c>
      <c r="AY18" s="154">
        <f t="shared" si="33"/>
        <v>6.165675817814914E-2</v>
      </c>
      <c r="AZ18" s="133">
        <f t="shared" si="34"/>
        <v>2617776.4466625205</v>
      </c>
      <c r="BA18" s="155">
        <f t="shared" si="35"/>
        <v>0</v>
      </c>
      <c r="BB18" s="22" t="s">
        <v>199</v>
      </c>
      <c r="BC18" s="153" t="s">
        <v>199</v>
      </c>
      <c r="BD18" s="157">
        <f t="shared" si="36"/>
        <v>0.26010073571818898</v>
      </c>
      <c r="BE18" s="154">
        <f t="shared" si="37"/>
        <v>6.165675817814914E-2</v>
      </c>
      <c r="BF18" s="133">
        <f t="shared" si="38"/>
        <v>2617776.4466625205</v>
      </c>
      <c r="BG18" s="155">
        <f t="shared" si="39"/>
        <v>0</v>
      </c>
      <c r="BH18" s="22" t="s">
        <v>199</v>
      </c>
      <c r="BI18" s="153" t="s">
        <v>199</v>
      </c>
      <c r="BJ18" s="157">
        <f t="shared" si="40"/>
        <v>0.26010073571818898</v>
      </c>
      <c r="BK18" s="154">
        <f t="shared" si="41"/>
        <v>6.165675817814914E-2</v>
      </c>
      <c r="BL18" s="133">
        <f t="shared" si="42"/>
        <v>2617776.4466625205</v>
      </c>
      <c r="BM18" s="155">
        <f t="shared" si="43"/>
        <v>0</v>
      </c>
      <c r="BN18" s="22" t="s">
        <v>199</v>
      </c>
      <c r="BO18" s="153" t="s">
        <v>199</v>
      </c>
      <c r="BP18" s="157">
        <f t="shared" si="44"/>
        <v>0.26010073571818898</v>
      </c>
      <c r="BQ18" s="154">
        <f t="shared" si="45"/>
        <v>6.165675817814914E-2</v>
      </c>
      <c r="BR18" s="133">
        <f t="shared" si="46"/>
        <v>2617776.4466625205</v>
      </c>
      <c r="BS18" s="158">
        <f t="shared" si="47"/>
        <v>0</v>
      </c>
      <c r="BT18" s="22" t="s">
        <v>199</v>
      </c>
      <c r="BU18" s="153" t="s">
        <v>199</v>
      </c>
      <c r="BV18" s="157">
        <f t="shared" si="48"/>
        <v>0.26010073571818898</v>
      </c>
      <c r="BW18" s="154">
        <f t="shared" si="49"/>
        <v>6.165675817814914E-2</v>
      </c>
      <c r="BX18" s="133">
        <f t="shared" si="50"/>
        <v>2617776.4466625205</v>
      </c>
      <c r="BY18" s="158">
        <f t="shared" si="51"/>
        <v>0</v>
      </c>
      <c r="BZ18" s="22" t="s">
        <v>199</v>
      </c>
      <c r="CA18" s="153" t="s">
        <v>199</v>
      </c>
      <c r="CB18" s="157">
        <f t="shared" si="52"/>
        <v>0.26010073571818898</v>
      </c>
      <c r="CC18" s="154">
        <f t="shared" si="53"/>
        <v>6.165675817814914E-2</v>
      </c>
      <c r="CD18" s="133">
        <f t="shared" si="54"/>
        <v>2617776.4466625205</v>
      </c>
      <c r="CE18" s="158">
        <f t="shared" si="55"/>
        <v>0</v>
      </c>
      <c r="CF18" s="22" t="s">
        <v>199</v>
      </c>
      <c r="CG18" s="153" t="s">
        <v>199</v>
      </c>
      <c r="CH18" s="157">
        <f t="shared" si="56"/>
        <v>0.26010073571818898</v>
      </c>
      <c r="CI18" s="154">
        <f t="shared" si="57"/>
        <v>6.165675817814914E-2</v>
      </c>
      <c r="CJ18" s="133">
        <f t="shared" si="58"/>
        <v>2617776.4466625205</v>
      </c>
      <c r="CK18" s="158">
        <f t="shared" si="59"/>
        <v>0</v>
      </c>
      <c r="CL18" s="22" t="s">
        <v>199</v>
      </c>
      <c r="CM18" s="153" t="s">
        <v>199</v>
      </c>
      <c r="CN18" s="157">
        <f t="shared" si="60"/>
        <v>0.26010073571818898</v>
      </c>
      <c r="CO18" s="154">
        <f t="shared" si="61"/>
        <v>6.165675817814914E-2</v>
      </c>
      <c r="CP18" s="133">
        <f t="shared" si="62"/>
        <v>2617776.4466625205</v>
      </c>
      <c r="CQ18" s="158">
        <f t="shared" si="63"/>
        <v>0</v>
      </c>
      <c r="CR18" s="22" t="s">
        <v>199</v>
      </c>
      <c r="CS18" s="153" t="s">
        <v>199</v>
      </c>
      <c r="CT18" s="157">
        <f t="shared" si="64"/>
        <v>0.26010073571818898</v>
      </c>
      <c r="CU18" s="154">
        <f t="shared" si="65"/>
        <v>6.165675817814914E-2</v>
      </c>
      <c r="CV18" s="133">
        <f t="shared" si="66"/>
        <v>2617776.4466625205</v>
      </c>
      <c r="CW18" s="158">
        <f t="shared" si="67"/>
        <v>0</v>
      </c>
      <c r="CX18" s="22" t="s">
        <v>199</v>
      </c>
      <c r="CY18" s="153" t="s">
        <v>199</v>
      </c>
      <c r="CZ18" s="157">
        <f t="shared" si="68"/>
        <v>0.26010073571818898</v>
      </c>
      <c r="DA18" s="154">
        <f t="shared" si="69"/>
        <v>6.165675817814914E-2</v>
      </c>
      <c r="DB18" s="133">
        <f t="shared" si="70"/>
        <v>2617776.4466625205</v>
      </c>
      <c r="DC18" s="158">
        <f t="shared" si="71"/>
        <v>0</v>
      </c>
      <c r="DD18" s="22" t="s">
        <v>199</v>
      </c>
      <c r="DE18" s="153" t="s">
        <v>199</v>
      </c>
      <c r="DF18" s="157">
        <f t="shared" si="72"/>
        <v>0.26010073571818898</v>
      </c>
      <c r="DG18" s="154">
        <f t="shared" si="73"/>
        <v>6.165675817814914E-2</v>
      </c>
      <c r="DH18" s="133">
        <f t="shared" si="74"/>
        <v>2617776.4466625205</v>
      </c>
      <c r="DI18" s="158">
        <f t="shared" si="75"/>
        <v>0</v>
      </c>
      <c r="DJ18" s="22" t="s">
        <v>199</v>
      </c>
      <c r="DK18" s="153" t="s">
        <v>199</v>
      </c>
      <c r="DL18" s="157">
        <f t="shared" si="76"/>
        <v>0.26010073571818898</v>
      </c>
      <c r="DM18" s="154">
        <f t="shared" si="77"/>
        <v>6.165675817814914E-2</v>
      </c>
      <c r="DN18" s="133">
        <f t="shared" si="78"/>
        <v>2617776.4466625205</v>
      </c>
      <c r="DO18" s="158">
        <f t="shared" si="79"/>
        <v>0</v>
      </c>
      <c r="DP18" s="22" t="s">
        <v>199</v>
      </c>
      <c r="DQ18" s="153" t="s">
        <v>199</v>
      </c>
      <c r="DR18" s="157">
        <f t="shared" si="80"/>
        <v>0.26010073571818898</v>
      </c>
      <c r="DS18" s="154">
        <f t="shared" si="81"/>
        <v>6.165675817814914E-2</v>
      </c>
      <c r="DT18" s="133">
        <f t="shared" si="82"/>
        <v>2617776.4466625205</v>
      </c>
      <c r="DU18" s="158">
        <f t="shared" si="83"/>
        <v>0</v>
      </c>
      <c r="DV18" s="22" t="s">
        <v>199</v>
      </c>
      <c r="DW18" s="153" t="s">
        <v>199</v>
      </c>
      <c r="DX18" s="157">
        <f t="shared" si="84"/>
        <v>0.26010073571818898</v>
      </c>
      <c r="DY18" s="154">
        <f t="shared" si="85"/>
        <v>6.165675817814914E-2</v>
      </c>
      <c r="DZ18" s="138">
        <f t="shared" si="86"/>
        <v>2617776.4466625205</v>
      </c>
      <c r="EA18" s="155">
        <f t="shared" si="87"/>
        <v>0</v>
      </c>
      <c r="EB18" s="22" t="s">
        <v>199</v>
      </c>
      <c r="EC18" s="153" t="s">
        <v>199</v>
      </c>
      <c r="ED18" s="157">
        <f t="shared" si="88"/>
        <v>0.26010073571818898</v>
      </c>
      <c r="EE18" s="154">
        <f t="shared" si="89"/>
        <v>6.165675817814914E-2</v>
      </c>
      <c r="EF18" s="138">
        <f t="shared" si="90"/>
        <v>2617776.4466625205</v>
      </c>
      <c r="EG18" s="155">
        <f t="shared" si="91"/>
        <v>0</v>
      </c>
      <c r="EH18" s="22" t="s">
        <v>199</v>
      </c>
      <c r="EI18" s="153" t="s">
        <v>199</v>
      </c>
      <c r="EJ18" s="157">
        <f t="shared" si="92"/>
        <v>0.26010073571818898</v>
      </c>
      <c r="EK18" s="154">
        <f t="shared" si="93"/>
        <v>6.165675817814914E-2</v>
      </c>
      <c r="EL18" s="138">
        <f t="shared" si="94"/>
        <v>2617776.4466625205</v>
      </c>
      <c r="EM18" s="155">
        <f t="shared" si="95"/>
        <v>0</v>
      </c>
      <c r="EN18" s="22" t="s">
        <v>199</v>
      </c>
      <c r="EO18" s="153" t="s">
        <v>199</v>
      </c>
      <c r="EP18" s="157">
        <f t="shared" si="96"/>
        <v>0.26010073571818898</v>
      </c>
      <c r="EQ18" s="154">
        <f t="shared" si="97"/>
        <v>6.165675817814914E-2</v>
      </c>
      <c r="ER18" s="138">
        <f t="shared" si="98"/>
        <v>2617776.4466625205</v>
      </c>
      <c r="ES18" s="155">
        <f t="shared" si="99"/>
        <v>0</v>
      </c>
      <c r="ET18" s="22" t="s">
        <v>199</v>
      </c>
      <c r="EU18" s="153" t="s">
        <v>199</v>
      </c>
      <c r="EV18" s="157">
        <f t="shared" si="100"/>
        <v>0.26010073571818898</v>
      </c>
      <c r="EW18" s="154">
        <f t="shared" si="101"/>
        <v>6.165675817814914E-2</v>
      </c>
      <c r="EX18" s="138">
        <f t="shared" si="102"/>
        <v>2617776.4466625205</v>
      </c>
      <c r="EY18" s="155">
        <f t="shared" si="103"/>
        <v>0</v>
      </c>
      <c r="EZ18" s="22" t="s">
        <v>199</v>
      </c>
      <c r="FA18" s="153" t="s">
        <v>199</v>
      </c>
      <c r="FB18" s="157">
        <f t="shared" si="104"/>
        <v>0.26010073571818898</v>
      </c>
      <c r="FC18" s="154">
        <f t="shared" si="105"/>
        <v>6.165675817814914E-2</v>
      </c>
      <c r="FD18" s="138">
        <f t="shared" si="106"/>
        <v>2617776.4466625205</v>
      </c>
      <c r="FE18" s="155">
        <f t="shared" si="107"/>
        <v>0</v>
      </c>
      <c r="FF18" s="22" t="s">
        <v>199</v>
      </c>
      <c r="FG18" s="153" t="s">
        <v>199</v>
      </c>
      <c r="FH18" s="157">
        <f t="shared" si="108"/>
        <v>0.26010073571818898</v>
      </c>
      <c r="FI18" s="154">
        <f t="shared" si="109"/>
        <v>6.165675817814914E-2</v>
      </c>
      <c r="FJ18" s="138">
        <f t="shared" si="110"/>
        <v>2617776.4466625205</v>
      </c>
      <c r="FK18" s="155">
        <f t="shared" si="111"/>
        <v>0</v>
      </c>
      <c r="FL18" s="22" t="s">
        <v>199</v>
      </c>
      <c r="FM18" s="153" t="s">
        <v>199</v>
      </c>
      <c r="FN18" s="157">
        <f t="shared" si="112"/>
        <v>0.26010073571818898</v>
      </c>
      <c r="FO18" s="154">
        <f t="shared" si="113"/>
        <v>6.165675817814914E-2</v>
      </c>
      <c r="FP18" s="138">
        <f t="shared" si="114"/>
        <v>2617776.4466625205</v>
      </c>
      <c r="FQ18" s="155">
        <f t="shared" si="115"/>
        <v>0</v>
      </c>
      <c r="FR18" s="22" t="s">
        <v>199</v>
      </c>
      <c r="FS18" s="153" t="s">
        <v>199</v>
      </c>
      <c r="FT18" s="157">
        <f t="shared" si="116"/>
        <v>0.26010073571818898</v>
      </c>
      <c r="FU18" s="154">
        <f t="shared" si="117"/>
        <v>6.165675817814914E-2</v>
      </c>
      <c r="FV18" s="138">
        <f t="shared" si="118"/>
        <v>2617776.4466625205</v>
      </c>
      <c r="FW18" s="155">
        <f t="shared" si="119"/>
        <v>0</v>
      </c>
      <c r="FX18" s="22" t="s">
        <v>199</v>
      </c>
      <c r="FY18" s="153" t="s">
        <v>199</v>
      </c>
      <c r="FZ18" s="157">
        <f t="shared" si="120"/>
        <v>0.26010073571818898</v>
      </c>
      <c r="GA18" s="154">
        <f t="shared" si="121"/>
        <v>6.165675817814914E-2</v>
      </c>
      <c r="GB18" s="138">
        <f t="shared" si="122"/>
        <v>2617776.4466625205</v>
      </c>
      <c r="GC18" s="155">
        <f t="shared" si="123"/>
        <v>0</v>
      </c>
      <c r="GD18" s="22" t="s">
        <v>199</v>
      </c>
      <c r="GE18" s="153" t="s">
        <v>199</v>
      </c>
      <c r="GF18" s="157">
        <f t="shared" si="124"/>
        <v>0.26010073571818898</v>
      </c>
      <c r="GG18" s="154">
        <f t="shared" si="125"/>
        <v>6.165675817814914E-2</v>
      </c>
      <c r="GH18" s="138">
        <f t="shared" si="126"/>
        <v>2617776.4466625205</v>
      </c>
      <c r="GI18" s="158">
        <f t="shared" si="127"/>
        <v>0</v>
      </c>
      <c r="GJ18" s="159">
        <f t="shared" si="128"/>
        <v>2507398.0397110656</v>
      </c>
      <c r="GK18" s="160">
        <f t="shared" si="129"/>
        <v>2707948.1364321122</v>
      </c>
      <c r="GL18" s="161">
        <f t="shared" si="130"/>
        <v>0.26010073571818904</v>
      </c>
      <c r="GM18" s="160">
        <v>2707948.14</v>
      </c>
    </row>
    <row r="19" spans="1:195" s="20" customFormat="1" x14ac:dyDescent="0.25">
      <c r="A19" s="162" t="s">
        <v>28</v>
      </c>
      <c r="B19" s="145" t="s">
        <v>199</v>
      </c>
      <c r="C19" s="145" t="s">
        <v>199</v>
      </c>
      <c r="D19" s="145" t="s">
        <v>199</v>
      </c>
      <c r="E19" s="145" t="s">
        <v>199</v>
      </c>
      <c r="F19" s="145" t="s">
        <v>199</v>
      </c>
      <c r="G19" s="146">
        <f>'Исходные данные'!C21</f>
        <v>858</v>
      </c>
      <c r="H19" s="147">
        <f>'Исходные данные'!D21</f>
        <v>1310252</v>
      </c>
      <c r="I19" s="148">
        <f>'Расчет КРП'!G17</f>
        <v>13.127382379180148</v>
      </c>
      <c r="J19" s="149" t="s">
        <v>199</v>
      </c>
      <c r="K19" s="150">
        <f t="shared" si="6"/>
        <v>0.10348382779268903</v>
      </c>
      <c r="L19" s="151">
        <f t="shared" si="7"/>
        <v>181510.53057664353</v>
      </c>
      <c r="M19" s="152">
        <f t="shared" si="8"/>
        <v>0.11781954679083062</v>
      </c>
      <c r="N19" s="153" t="s">
        <v>199</v>
      </c>
      <c r="O19" s="154">
        <f t="shared" si="9"/>
        <v>5.5883882027194492E-2</v>
      </c>
      <c r="P19" s="138">
        <f t="shared" si="10"/>
        <v>840726.96468619304</v>
      </c>
      <c r="Q19" s="155">
        <f t="shared" si="11"/>
        <v>840726.96468619304</v>
      </c>
      <c r="R19" s="156" t="s">
        <v>199</v>
      </c>
      <c r="S19" s="153" t="s">
        <v>199</v>
      </c>
      <c r="T19" s="157">
        <f t="shared" si="12"/>
        <v>0.18422024256100014</v>
      </c>
      <c r="U19" s="154">
        <f t="shared" si="13"/>
        <v>7.5845434042868615E-2</v>
      </c>
      <c r="V19" s="133">
        <f t="shared" si="14"/>
        <v>2079359.7026035658</v>
      </c>
      <c r="W19" s="155">
        <f t="shared" si="15"/>
        <v>960787.67665595247</v>
      </c>
      <c r="X19" s="22" t="s">
        <v>199</v>
      </c>
      <c r="Y19" s="153" t="s">
        <v>199</v>
      </c>
      <c r="Z19" s="157">
        <f t="shared" si="16"/>
        <v>0.26010334480118169</v>
      </c>
      <c r="AA19" s="154">
        <f t="shared" si="17"/>
        <v>6.165414909515643E-2</v>
      </c>
      <c r="AB19" s="133">
        <f t="shared" si="18"/>
        <v>2249698.2098349133</v>
      </c>
      <c r="AC19" s="155">
        <f t="shared" si="19"/>
        <v>0</v>
      </c>
      <c r="AD19" s="22" t="s">
        <v>199</v>
      </c>
      <c r="AE19" s="153" t="s">
        <v>199</v>
      </c>
      <c r="AF19" s="157">
        <f t="shared" si="20"/>
        <v>0.26010334480118169</v>
      </c>
      <c r="AG19" s="154">
        <f t="shared" si="21"/>
        <v>6.165414909515643E-2</v>
      </c>
      <c r="AH19" s="133">
        <f t="shared" si="22"/>
        <v>2249698.2098349133</v>
      </c>
      <c r="AI19" s="155">
        <f t="shared" si="23"/>
        <v>0</v>
      </c>
      <c r="AJ19" s="22" t="s">
        <v>199</v>
      </c>
      <c r="AK19" s="153" t="s">
        <v>199</v>
      </c>
      <c r="AL19" s="157">
        <f t="shared" si="24"/>
        <v>0.26010334480118169</v>
      </c>
      <c r="AM19" s="154">
        <f t="shared" si="25"/>
        <v>6.165414909515643E-2</v>
      </c>
      <c r="AN19" s="133">
        <f t="shared" si="26"/>
        <v>2249698.2098349133</v>
      </c>
      <c r="AO19" s="155">
        <f t="shared" si="27"/>
        <v>0</v>
      </c>
      <c r="AP19" s="22" t="s">
        <v>199</v>
      </c>
      <c r="AQ19" s="153" t="s">
        <v>199</v>
      </c>
      <c r="AR19" s="157">
        <f t="shared" si="28"/>
        <v>0.26010334480118169</v>
      </c>
      <c r="AS19" s="154">
        <f t="shared" si="29"/>
        <v>6.165414909515643E-2</v>
      </c>
      <c r="AT19" s="133">
        <f t="shared" si="30"/>
        <v>2249698.2098349133</v>
      </c>
      <c r="AU19" s="155">
        <f t="shared" si="31"/>
        <v>0</v>
      </c>
      <c r="AV19" s="22" t="s">
        <v>199</v>
      </c>
      <c r="AW19" s="153" t="s">
        <v>199</v>
      </c>
      <c r="AX19" s="157">
        <f t="shared" si="32"/>
        <v>0.26010334480118169</v>
      </c>
      <c r="AY19" s="154">
        <f t="shared" si="33"/>
        <v>6.165414909515643E-2</v>
      </c>
      <c r="AZ19" s="133">
        <f t="shared" si="34"/>
        <v>2249698.2098349133</v>
      </c>
      <c r="BA19" s="155">
        <f t="shared" si="35"/>
        <v>0</v>
      </c>
      <c r="BB19" s="22" t="s">
        <v>199</v>
      </c>
      <c r="BC19" s="153" t="s">
        <v>199</v>
      </c>
      <c r="BD19" s="157">
        <f t="shared" si="36"/>
        <v>0.26010334480118169</v>
      </c>
      <c r="BE19" s="154">
        <f t="shared" si="37"/>
        <v>6.165414909515643E-2</v>
      </c>
      <c r="BF19" s="133">
        <f t="shared" si="38"/>
        <v>2249698.2098349133</v>
      </c>
      <c r="BG19" s="155">
        <f t="shared" si="39"/>
        <v>0</v>
      </c>
      <c r="BH19" s="22" t="s">
        <v>199</v>
      </c>
      <c r="BI19" s="153" t="s">
        <v>199</v>
      </c>
      <c r="BJ19" s="157">
        <f t="shared" si="40"/>
        <v>0.26010334480118169</v>
      </c>
      <c r="BK19" s="154">
        <f t="shared" si="41"/>
        <v>6.165414909515643E-2</v>
      </c>
      <c r="BL19" s="133">
        <f t="shared" si="42"/>
        <v>2249698.2098349133</v>
      </c>
      <c r="BM19" s="155">
        <f t="shared" si="43"/>
        <v>0</v>
      </c>
      <c r="BN19" s="22" t="s">
        <v>199</v>
      </c>
      <c r="BO19" s="153" t="s">
        <v>199</v>
      </c>
      <c r="BP19" s="157">
        <f t="shared" si="44"/>
        <v>0.26010334480118169</v>
      </c>
      <c r="BQ19" s="154">
        <f t="shared" si="45"/>
        <v>6.165414909515643E-2</v>
      </c>
      <c r="BR19" s="133">
        <f t="shared" si="46"/>
        <v>2249698.2098349133</v>
      </c>
      <c r="BS19" s="158">
        <f t="shared" si="47"/>
        <v>0</v>
      </c>
      <c r="BT19" s="22" t="s">
        <v>199</v>
      </c>
      <c r="BU19" s="153" t="s">
        <v>199</v>
      </c>
      <c r="BV19" s="157">
        <f t="shared" si="48"/>
        <v>0.26010334480118169</v>
      </c>
      <c r="BW19" s="154">
        <f t="shared" si="49"/>
        <v>6.165414909515643E-2</v>
      </c>
      <c r="BX19" s="133">
        <f t="shared" si="50"/>
        <v>2249698.2098349133</v>
      </c>
      <c r="BY19" s="158">
        <f t="shared" si="51"/>
        <v>0</v>
      </c>
      <c r="BZ19" s="22" t="s">
        <v>199</v>
      </c>
      <c r="CA19" s="153" t="s">
        <v>199</v>
      </c>
      <c r="CB19" s="157">
        <f t="shared" si="52"/>
        <v>0.26010334480118169</v>
      </c>
      <c r="CC19" s="154">
        <f t="shared" si="53"/>
        <v>6.165414909515643E-2</v>
      </c>
      <c r="CD19" s="133">
        <f t="shared" si="54"/>
        <v>2249698.2098349133</v>
      </c>
      <c r="CE19" s="158">
        <f t="shared" si="55"/>
        <v>0</v>
      </c>
      <c r="CF19" s="22" t="s">
        <v>199</v>
      </c>
      <c r="CG19" s="153" t="s">
        <v>199</v>
      </c>
      <c r="CH19" s="157">
        <f t="shared" si="56"/>
        <v>0.26010334480118169</v>
      </c>
      <c r="CI19" s="154">
        <f t="shared" si="57"/>
        <v>6.165414909515643E-2</v>
      </c>
      <c r="CJ19" s="133">
        <f t="shared" si="58"/>
        <v>2249698.2098349133</v>
      </c>
      <c r="CK19" s="158">
        <f t="shared" si="59"/>
        <v>0</v>
      </c>
      <c r="CL19" s="22" t="s">
        <v>199</v>
      </c>
      <c r="CM19" s="153" t="s">
        <v>199</v>
      </c>
      <c r="CN19" s="157">
        <f t="shared" si="60"/>
        <v>0.26010334480118169</v>
      </c>
      <c r="CO19" s="154">
        <f t="shared" si="61"/>
        <v>6.165414909515643E-2</v>
      </c>
      <c r="CP19" s="133">
        <f t="shared" si="62"/>
        <v>2249698.2098349133</v>
      </c>
      <c r="CQ19" s="158">
        <f t="shared" si="63"/>
        <v>0</v>
      </c>
      <c r="CR19" s="22" t="s">
        <v>199</v>
      </c>
      <c r="CS19" s="153" t="s">
        <v>199</v>
      </c>
      <c r="CT19" s="157">
        <f t="shared" si="64"/>
        <v>0.26010334480118169</v>
      </c>
      <c r="CU19" s="154">
        <f t="shared" si="65"/>
        <v>6.165414909515643E-2</v>
      </c>
      <c r="CV19" s="133">
        <f t="shared" si="66"/>
        <v>2249698.2098349133</v>
      </c>
      <c r="CW19" s="158">
        <f t="shared" si="67"/>
        <v>0</v>
      </c>
      <c r="CX19" s="22" t="s">
        <v>199</v>
      </c>
      <c r="CY19" s="153" t="s">
        <v>199</v>
      </c>
      <c r="CZ19" s="157">
        <f t="shared" si="68"/>
        <v>0.26010334480118169</v>
      </c>
      <c r="DA19" s="154">
        <f t="shared" si="69"/>
        <v>6.165414909515643E-2</v>
      </c>
      <c r="DB19" s="133">
        <f t="shared" si="70"/>
        <v>2249698.2098349133</v>
      </c>
      <c r="DC19" s="158">
        <f t="shared" si="71"/>
        <v>0</v>
      </c>
      <c r="DD19" s="22" t="s">
        <v>199</v>
      </c>
      <c r="DE19" s="153" t="s">
        <v>199</v>
      </c>
      <c r="DF19" s="157">
        <f t="shared" si="72"/>
        <v>0.26010334480118169</v>
      </c>
      <c r="DG19" s="154">
        <f t="shared" si="73"/>
        <v>6.165414909515643E-2</v>
      </c>
      <c r="DH19" s="133">
        <f t="shared" si="74"/>
        <v>2249698.2098349133</v>
      </c>
      <c r="DI19" s="158">
        <f t="shared" si="75"/>
        <v>0</v>
      </c>
      <c r="DJ19" s="22" t="s">
        <v>199</v>
      </c>
      <c r="DK19" s="153" t="s">
        <v>199</v>
      </c>
      <c r="DL19" s="157">
        <f t="shared" si="76"/>
        <v>0.26010334480118169</v>
      </c>
      <c r="DM19" s="154">
        <f t="shared" si="77"/>
        <v>6.165414909515643E-2</v>
      </c>
      <c r="DN19" s="133">
        <f t="shared" si="78"/>
        <v>2249698.2098349133</v>
      </c>
      <c r="DO19" s="158">
        <f t="shared" si="79"/>
        <v>0</v>
      </c>
      <c r="DP19" s="22" t="s">
        <v>199</v>
      </c>
      <c r="DQ19" s="153" t="s">
        <v>199</v>
      </c>
      <c r="DR19" s="157">
        <f t="shared" si="80"/>
        <v>0.26010334480118169</v>
      </c>
      <c r="DS19" s="154">
        <f t="shared" si="81"/>
        <v>6.165414909515643E-2</v>
      </c>
      <c r="DT19" s="133">
        <f t="shared" si="82"/>
        <v>2249698.2098349133</v>
      </c>
      <c r="DU19" s="158">
        <f t="shared" si="83"/>
        <v>0</v>
      </c>
      <c r="DV19" s="22" t="s">
        <v>199</v>
      </c>
      <c r="DW19" s="153" t="s">
        <v>199</v>
      </c>
      <c r="DX19" s="157">
        <f t="shared" si="84"/>
        <v>0.26010334480118169</v>
      </c>
      <c r="DY19" s="154">
        <f t="shared" si="85"/>
        <v>6.165414909515643E-2</v>
      </c>
      <c r="DZ19" s="138">
        <f t="shared" si="86"/>
        <v>2249698.2098349133</v>
      </c>
      <c r="EA19" s="155">
        <f t="shared" si="87"/>
        <v>0</v>
      </c>
      <c r="EB19" s="22" t="s">
        <v>199</v>
      </c>
      <c r="EC19" s="153" t="s">
        <v>199</v>
      </c>
      <c r="ED19" s="157">
        <f t="shared" si="88"/>
        <v>0.26010334480118169</v>
      </c>
      <c r="EE19" s="154">
        <f t="shared" si="89"/>
        <v>6.165414909515643E-2</v>
      </c>
      <c r="EF19" s="138">
        <f t="shared" si="90"/>
        <v>2249698.2098349133</v>
      </c>
      <c r="EG19" s="155">
        <f t="shared" si="91"/>
        <v>0</v>
      </c>
      <c r="EH19" s="22" t="s">
        <v>199</v>
      </c>
      <c r="EI19" s="153" t="s">
        <v>199</v>
      </c>
      <c r="EJ19" s="157">
        <f t="shared" si="92"/>
        <v>0.26010334480118169</v>
      </c>
      <c r="EK19" s="154">
        <f t="shared" si="93"/>
        <v>6.165414909515643E-2</v>
      </c>
      <c r="EL19" s="138">
        <f t="shared" si="94"/>
        <v>2249698.2098349133</v>
      </c>
      <c r="EM19" s="155">
        <f t="shared" si="95"/>
        <v>0</v>
      </c>
      <c r="EN19" s="22" t="s">
        <v>199</v>
      </c>
      <c r="EO19" s="153" t="s">
        <v>199</v>
      </c>
      <c r="EP19" s="157">
        <f t="shared" si="96"/>
        <v>0.26010334480118169</v>
      </c>
      <c r="EQ19" s="154">
        <f t="shared" si="97"/>
        <v>6.165414909515643E-2</v>
      </c>
      <c r="ER19" s="138">
        <f t="shared" si="98"/>
        <v>2249698.2098349133</v>
      </c>
      <c r="ES19" s="155">
        <f t="shared" si="99"/>
        <v>0</v>
      </c>
      <c r="ET19" s="22" t="s">
        <v>199</v>
      </c>
      <c r="EU19" s="153" t="s">
        <v>199</v>
      </c>
      <c r="EV19" s="157">
        <f t="shared" si="100"/>
        <v>0.26010334480118169</v>
      </c>
      <c r="EW19" s="154">
        <f t="shared" si="101"/>
        <v>6.165414909515643E-2</v>
      </c>
      <c r="EX19" s="138">
        <f t="shared" si="102"/>
        <v>2249698.2098349133</v>
      </c>
      <c r="EY19" s="155">
        <f t="shared" si="103"/>
        <v>0</v>
      </c>
      <c r="EZ19" s="22" t="s">
        <v>199</v>
      </c>
      <c r="FA19" s="153" t="s">
        <v>199</v>
      </c>
      <c r="FB19" s="157">
        <f t="shared" si="104"/>
        <v>0.26010334480118169</v>
      </c>
      <c r="FC19" s="154">
        <f t="shared" si="105"/>
        <v>6.165414909515643E-2</v>
      </c>
      <c r="FD19" s="138">
        <f t="shared" si="106"/>
        <v>2249698.2098349133</v>
      </c>
      <c r="FE19" s="155">
        <f t="shared" si="107"/>
        <v>0</v>
      </c>
      <c r="FF19" s="22" t="s">
        <v>199</v>
      </c>
      <c r="FG19" s="153" t="s">
        <v>199</v>
      </c>
      <c r="FH19" s="157">
        <f t="shared" si="108"/>
        <v>0.26010334480118169</v>
      </c>
      <c r="FI19" s="154">
        <f t="shared" si="109"/>
        <v>6.165414909515643E-2</v>
      </c>
      <c r="FJ19" s="138">
        <f t="shared" si="110"/>
        <v>2249698.2098349133</v>
      </c>
      <c r="FK19" s="155">
        <f t="shared" si="111"/>
        <v>0</v>
      </c>
      <c r="FL19" s="22" t="s">
        <v>199</v>
      </c>
      <c r="FM19" s="153" t="s">
        <v>199</v>
      </c>
      <c r="FN19" s="157">
        <f t="shared" si="112"/>
        <v>0.26010334480118169</v>
      </c>
      <c r="FO19" s="154">
        <f t="shared" si="113"/>
        <v>6.165414909515643E-2</v>
      </c>
      <c r="FP19" s="138">
        <f t="shared" si="114"/>
        <v>2249698.2098349133</v>
      </c>
      <c r="FQ19" s="155">
        <f t="shared" si="115"/>
        <v>0</v>
      </c>
      <c r="FR19" s="22" t="s">
        <v>199</v>
      </c>
      <c r="FS19" s="153" t="s">
        <v>199</v>
      </c>
      <c r="FT19" s="157">
        <f t="shared" si="116"/>
        <v>0.26010334480118169</v>
      </c>
      <c r="FU19" s="154">
        <f t="shared" si="117"/>
        <v>6.165414909515643E-2</v>
      </c>
      <c r="FV19" s="138">
        <f t="shared" si="118"/>
        <v>2249698.2098349133</v>
      </c>
      <c r="FW19" s="155">
        <f t="shared" si="119"/>
        <v>0</v>
      </c>
      <c r="FX19" s="22" t="s">
        <v>199</v>
      </c>
      <c r="FY19" s="153" t="s">
        <v>199</v>
      </c>
      <c r="FZ19" s="157">
        <f t="shared" si="120"/>
        <v>0.26010334480118169</v>
      </c>
      <c r="GA19" s="154">
        <f t="shared" si="121"/>
        <v>6.165414909515643E-2</v>
      </c>
      <c r="GB19" s="138">
        <f t="shared" si="122"/>
        <v>2249698.2098349133</v>
      </c>
      <c r="GC19" s="155">
        <f t="shared" si="123"/>
        <v>0</v>
      </c>
      <c r="GD19" s="22" t="s">
        <v>199</v>
      </c>
      <c r="GE19" s="153" t="s">
        <v>199</v>
      </c>
      <c r="GF19" s="157">
        <f t="shared" si="124"/>
        <v>0.26010334480118169</v>
      </c>
      <c r="GG19" s="154">
        <f t="shared" si="125"/>
        <v>6.165414909515643E-2</v>
      </c>
      <c r="GH19" s="138">
        <f t="shared" si="126"/>
        <v>2249698.2098349133</v>
      </c>
      <c r="GI19" s="158">
        <f t="shared" si="127"/>
        <v>0</v>
      </c>
      <c r="GJ19" s="159">
        <f t="shared" si="128"/>
        <v>1801514.6413421454</v>
      </c>
      <c r="GK19" s="160">
        <f t="shared" si="129"/>
        <v>1983025.1719187889</v>
      </c>
      <c r="GL19" s="161">
        <f t="shared" si="130"/>
        <v>0.26010334480118169</v>
      </c>
      <c r="GM19" s="160">
        <v>1983025.17</v>
      </c>
    </row>
    <row r="20" spans="1:195" s="20" customFormat="1" ht="15.75" hidden="1" customHeight="1" x14ac:dyDescent="0.25">
      <c r="A20" s="162"/>
      <c r="B20" s="145" t="s">
        <v>199</v>
      </c>
      <c r="C20" s="145" t="s">
        <v>199</v>
      </c>
      <c r="D20" s="145" t="s">
        <v>199</v>
      </c>
      <c r="E20" s="145" t="s">
        <v>199</v>
      </c>
      <c r="F20" s="145" t="s">
        <v>199</v>
      </c>
      <c r="G20" s="146">
        <f>'Исходные данные'!C22</f>
        <v>0</v>
      </c>
      <c r="H20" s="147">
        <f>'Исходные данные'!D22</f>
        <v>0</v>
      </c>
      <c r="I20" s="148">
        <f>'Расчет КРП'!G18</f>
        <v>0</v>
      </c>
      <c r="J20" s="149" t="s">
        <v>199</v>
      </c>
      <c r="K20" s="150"/>
      <c r="L20" s="151">
        <f t="shared" si="7"/>
        <v>0</v>
      </c>
      <c r="M20" s="152"/>
      <c r="N20" s="153" t="s">
        <v>199</v>
      </c>
      <c r="O20" s="154"/>
      <c r="P20" s="138">
        <f t="shared" si="10"/>
        <v>0</v>
      </c>
      <c r="Q20" s="155">
        <f t="shared" si="11"/>
        <v>0</v>
      </c>
      <c r="R20" s="156" t="s">
        <v>199</v>
      </c>
      <c r="S20" s="153" t="s">
        <v>199</v>
      </c>
      <c r="T20" s="157"/>
      <c r="U20" s="154"/>
      <c r="V20" s="133">
        <f t="shared" si="14"/>
        <v>0</v>
      </c>
      <c r="W20" s="155">
        <f t="shared" si="15"/>
        <v>0</v>
      </c>
      <c r="X20" s="22" t="s">
        <v>199</v>
      </c>
      <c r="Y20" s="153" t="s">
        <v>199</v>
      </c>
      <c r="Z20" s="157"/>
      <c r="AA20" s="154"/>
      <c r="AB20" s="133"/>
      <c r="AC20" s="155">
        <f t="shared" si="19"/>
        <v>0</v>
      </c>
      <c r="AD20" s="22" t="s">
        <v>199</v>
      </c>
      <c r="AE20" s="153" t="s">
        <v>199</v>
      </c>
      <c r="AF20" s="157"/>
      <c r="AG20" s="154"/>
      <c r="AH20" s="133"/>
      <c r="AI20" s="155">
        <f t="shared" si="23"/>
        <v>0</v>
      </c>
      <c r="AJ20" s="22" t="s">
        <v>199</v>
      </c>
      <c r="AK20" s="153" t="s">
        <v>199</v>
      </c>
      <c r="AL20" s="157"/>
      <c r="AM20" s="154"/>
      <c r="AN20" s="133"/>
      <c r="AO20" s="155">
        <f t="shared" si="27"/>
        <v>0</v>
      </c>
      <c r="AP20" s="22" t="s">
        <v>199</v>
      </c>
      <c r="AQ20" s="153" t="s">
        <v>199</v>
      </c>
      <c r="AR20" s="157"/>
      <c r="AS20" s="154"/>
      <c r="AT20" s="133"/>
      <c r="AU20" s="155">
        <f t="shared" si="31"/>
        <v>0</v>
      </c>
      <c r="AV20" s="22" t="s">
        <v>199</v>
      </c>
      <c r="AW20" s="153" t="s">
        <v>199</v>
      </c>
      <c r="AX20" s="157"/>
      <c r="AY20" s="154"/>
      <c r="AZ20" s="133"/>
      <c r="BA20" s="155">
        <f t="shared" si="35"/>
        <v>0</v>
      </c>
      <c r="BB20" s="22" t="s">
        <v>199</v>
      </c>
      <c r="BC20" s="153" t="s">
        <v>199</v>
      </c>
      <c r="BD20" s="157"/>
      <c r="BE20" s="154"/>
      <c r="BF20" s="133"/>
      <c r="BG20" s="155">
        <f t="shared" si="39"/>
        <v>0</v>
      </c>
      <c r="BH20" s="22" t="s">
        <v>199</v>
      </c>
      <c r="BI20" s="153" t="s">
        <v>199</v>
      </c>
      <c r="BJ20" s="157"/>
      <c r="BK20" s="154"/>
      <c r="BL20" s="133"/>
      <c r="BM20" s="155">
        <f t="shared" si="43"/>
        <v>0</v>
      </c>
      <c r="BN20" s="22" t="s">
        <v>199</v>
      </c>
      <c r="BO20" s="153" t="s">
        <v>199</v>
      </c>
      <c r="BP20" s="157"/>
      <c r="BQ20" s="154"/>
      <c r="BR20" s="133"/>
      <c r="BS20" s="158">
        <f t="shared" si="47"/>
        <v>0</v>
      </c>
      <c r="BT20" s="22" t="s">
        <v>199</v>
      </c>
      <c r="BU20" s="153" t="s">
        <v>199</v>
      </c>
      <c r="BV20" s="157"/>
      <c r="BW20" s="154"/>
      <c r="BX20" s="133"/>
      <c r="BY20" s="158">
        <f t="shared" si="51"/>
        <v>0</v>
      </c>
      <c r="BZ20" s="22" t="s">
        <v>199</v>
      </c>
      <c r="CA20" s="153" t="s">
        <v>199</v>
      </c>
      <c r="CB20" s="157"/>
      <c r="CC20" s="154"/>
      <c r="CD20" s="133"/>
      <c r="CE20" s="158">
        <f t="shared" si="55"/>
        <v>0</v>
      </c>
      <c r="CF20" s="22" t="s">
        <v>199</v>
      </c>
      <c r="CG20" s="153" t="s">
        <v>199</v>
      </c>
      <c r="CH20" s="157"/>
      <c r="CI20" s="154"/>
      <c r="CJ20" s="133"/>
      <c r="CK20" s="158">
        <f t="shared" si="59"/>
        <v>0</v>
      </c>
      <c r="CL20" s="22" t="s">
        <v>199</v>
      </c>
      <c r="CM20" s="153" t="s">
        <v>199</v>
      </c>
      <c r="CN20" s="157"/>
      <c r="CO20" s="154"/>
      <c r="CP20" s="133"/>
      <c r="CQ20" s="158">
        <f t="shared" si="63"/>
        <v>0</v>
      </c>
      <c r="CR20" s="22" t="s">
        <v>199</v>
      </c>
      <c r="CS20" s="153" t="s">
        <v>199</v>
      </c>
      <c r="CT20" s="157"/>
      <c r="CU20" s="154"/>
      <c r="CV20" s="133"/>
      <c r="CW20" s="158">
        <f t="shared" si="67"/>
        <v>0</v>
      </c>
      <c r="CX20" s="22" t="s">
        <v>199</v>
      </c>
      <c r="CY20" s="153" t="s">
        <v>199</v>
      </c>
      <c r="CZ20" s="157"/>
      <c r="DA20" s="154"/>
      <c r="DB20" s="133"/>
      <c r="DC20" s="158">
        <f t="shared" si="71"/>
        <v>0</v>
      </c>
      <c r="DD20" s="22" t="s">
        <v>199</v>
      </c>
      <c r="DE20" s="153" t="s">
        <v>199</v>
      </c>
      <c r="DF20" s="157"/>
      <c r="DG20" s="154"/>
      <c r="DH20" s="133"/>
      <c r="DI20" s="158">
        <f t="shared" si="75"/>
        <v>0</v>
      </c>
      <c r="DJ20" s="22" t="s">
        <v>199</v>
      </c>
      <c r="DK20" s="153" t="s">
        <v>199</v>
      </c>
      <c r="DL20" s="157"/>
      <c r="DM20" s="154"/>
      <c r="DN20" s="133"/>
      <c r="DO20" s="158">
        <f t="shared" si="79"/>
        <v>0</v>
      </c>
      <c r="DP20" s="22" t="s">
        <v>199</v>
      </c>
      <c r="DQ20" s="153" t="s">
        <v>199</v>
      </c>
      <c r="DR20" s="157"/>
      <c r="DS20" s="154"/>
      <c r="DT20" s="133"/>
      <c r="DU20" s="158">
        <f t="shared" si="83"/>
        <v>0</v>
      </c>
      <c r="DV20" s="22" t="s">
        <v>199</v>
      </c>
      <c r="DW20" s="153" t="s">
        <v>199</v>
      </c>
      <c r="DX20" s="157"/>
      <c r="DY20" s="154"/>
      <c r="DZ20" s="138"/>
      <c r="EA20" s="155">
        <f t="shared" si="87"/>
        <v>0</v>
      </c>
      <c r="EB20" s="22" t="s">
        <v>199</v>
      </c>
      <c r="EC20" s="153" t="s">
        <v>199</v>
      </c>
      <c r="ED20" s="157"/>
      <c r="EE20" s="154"/>
      <c r="EF20" s="138"/>
      <c r="EG20" s="155">
        <f t="shared" si="91"/>
        <v>0</v>
      </c>
      <c r="EH20" s="22" t="s">
        <v>199</v>
      </c>
      <c r="EI20" s="153" t="s">
        <v>199</v>
      </c>
      <c r="EJ20" s="157"/>
      <c r="EK20" s="154"/>
      <c r="EL20" s="138"/>
      <c r="EM20" s="155">
        <f t="shared" si="95"/>
        <v>0</v>
      </c>
      <c r="EN20" s="22" t="s">
        <v>199</v>
      </c>
      <c r="EO20" s="153" t="s">
        <v>199</v>
      </c>
      <c r="EP20" s="157"/>
      <c r="EQ20" s="154"/>
      <c r="ER20" s="138">
        <f t="shared" si="98"/>
        <v>0</v>
      </c>
      <c r="ES20" s="155">
        <f t="shared" si="99"/>
        <v>0</v>
      </c>
      <c r="ET20" s="22" t="s">
        <v>199</v>
      </c>
      <c r="EU20" s="153" t="s">
        <v>199</v>
      </c>
      <c r="EV20" s="157"/>
      <c r="EW20" s="154"/>
      <c r="EX20" s="138"/>
      <c r="EY20" s="155">
        <f t="shared" si="103"/>
        <v>0</v>
      </c>
      <c r="EZ20" s="22" t="s">
        <v>199</v>
      </c>
      <c r="FA20" s="153" t="s">
        <v>199</v>
      </c>
      <c r="FB20" s="157"/>
      <c r="FC20" s="154"/>
      <c r="FD20" s="138"/>
      <c r="FE20" s="155">
        <f t="shared" si="107"/>
        <v>0</v>
      </c>
      <c r="FF20" s="22" t="s">
        <v>199</v>
      </c>
      <c r="FG20" s="153" t="s">
        <v>199</v>
      </c>
      <c r="FH20" s="157"/>
      <c r="FI20" s="154"/>
      <c r="FJ20" s="138"/>
      <c r="FK20" s="155">
        <f t="shared" si="111"/>
        <v>0</v>
      </c>
      <c r="FL20" s="22" t="s">
        <v>199</v>
      </c>
      <c r="FM20" s="153" t="s">
        <v>199</v>
      </c>
      <c r="FN20" s="157"/>
      <c r="FO20" s="154"/>
      <c r="FP20" s="138"/>
      <c r="FQ20" s="155">
        <f t="shared" si="115"/>
        <v>0</v>
      </c>
      <c r="FR20" s="22" t="s">
        <v>199</v>
      </c>
      <c r="FS20" s="153" t="s">
        <v>199</v>
      </c>
      <c r="FT20" s="157"/>
      <c r="FU20" s="154"/>
      <c r="FV20" s="138"/>
      <c r="FW20" s="155">
        <f t="shared" si="119"/>
        <v>0</v>
      </c>
      <c r="FX20" s="22" t="s">
        <v>199</v>
      </c>
      <c r="FY20" s="153" t="s">
        <v>199</v>
      </c>
      <c r="FZ20" s="157"/>
      <c r="GA20" s="154"/>
      <c r="GB20" s="138"/>
      <c r="GC20" s="155">
        <f t="shared" si="123"/>
        <v>0</v>
      </c>
      <c r="GD20" s="22" t="s">
        <v>199</v>
      </c>
      <c r="GE20" s="153" t="s">
        <v>199</v>
      </c>
      <c r="GF20" s="157"/>
      <c r="GG20" s="154"/>
      <c r="GH20" s="138"/>
      <c r="GI20" s="158">
        <f t="shared" si="127"/>
        <v>0</v>
      </c>
      <c r="GJ20" s="159">
        <f t="shared" si="128"/>
        <v>0</v>
      </c>
      <c r="GK20" s="160">
        <f t="shared" si="129"/>
        <v>0</v>
      </c>
      <c r="GL20" s="161"/>
      <c r="GM20" s="160" t="e">
        <f t="shared" ref="GM20:GM32" si="131">N20+GL20</f>
        <v>#VALUE!</v>
      </c>
    </row>
    <row r="21" spans="1:195" s="20" customFormat="1" hidden="1" x14ac:dyDescent="0.25">
      <c r="A21" s="162"/>
      <c r="B21" s="163" t="s">
        <v>199</v>
      </c>
      <c r="C21" s="163" t="s">
        <v>199</v>
      </c>
      <c r="D21" s="163" t="s">
        <v>199</v>
      </c>
      <c r="E21" s="163" t="s">
        <v>199</v>
      </c>
      <c r="F21" s="163" t="s">
        <v>199</v>
      </c>
      <c r="G21" s="164">
        <f>'Исходные данные'!C23</f>
        <v>0</v>
      </c>
      <c r="H21" s="165">
        <f>'Исходные данные'!D23</f>
        <v>0</v>
      </c>
      <c r="I21" s="166">
        <f>'Расчет КРП'!G19</f>
        <v>0</v>
      </c>
      <c r="J21" s="167" t="s">
        <v>199</v>
      </c>
      <c r="K21" s="168"/>
      <c r="L21" s="169">
        <f t="shared" si="7"/>
        <v>0</v>
      </c>
      <c r="M21" s="170"/>
      <c r="N21" s="171" t="s">
        <v>199</v>
      </c>
      <c r="O21" s="172"/>
      <c r="P21" s="138">
        <f t="shared" si="10"/>
        <v>0</v>
      </c>
      <c r="Q21" s="173">
        <f t="shared" si="11"/>
        <v>0</v>
      </c>
      <c r="R21" s="174" t="s">
        <v>199</v>
      </c>
      <c r="S21" s="171" t="s">
        <v>199</v>
      </c>
      <c r="T21" s="175"/>
      <c r="U21" s="172"/>
      <c r="V21" s="133">
        <f t="shared" si="14"/>
        <v>0</v>
      </c>
      <c r="W21" s="173">
        <f t="shared" si="15"/>
        <v>0</v>
      </c>
      <c r="X21" s="29" t="s">
        <v>199</v>
      </c>
      <c r="Y21" s="171" t="s">
        <v>199</v>
      </c>
      <c r="Z21" s="175"/>
      <c r="AA21" s="172"/>
      <c r="AB21" s="133"/>
      <c r="AC21" s="173">
        <f t="shared" si="19"/>
        <v>0</v>
      </c>
      <c r="AD21" s="29" t="s">
        <v>199</v>
      </c>
      <c r="AE21" s="171" t="s">
        <v>199</v>
      </c>
      <c r="AF21" s="175"/>
      <c r="AG21" s="172"/>
      <c r="AH21" s="133"/>
      <c r="AI21" s="173">
        <f t="shared" si="23"/>
        <v>0</v>
      </c>
      <c r="AJ21" s="29" t="s">
        <v>199</v>
      </c>
      <c r="AK21" s="171" t="s">
        <v>199</v>
      </c>
      <c r="AL21" s="175"/>
      <c r="AM21" s="172"/>
      <c r="AN21" s="133"/>
      <c r="AO21" s="173">
        <f t="shared" si="27"/>
        <v>0</v>
      </c>
      <c r="AP21" s="29" t="s">
        <v>199</v>
      </c>
      <c r="AQ21" s="171" t="s">
        <v>199</v>
      </c>
      <c r="AR21" s="175"/>
      <c r="AS21" s="172"/>
      <c r="AT21" s="133"/>
      <c r="AU21" s="173">
        <f t="shared" si="31"/>
        <v>0</v>
      </c>
      <c r="AV21" s="29" t="s">
        <v>199</v>
      </c>
      <c r="AW21" s="171" t="s">
        <v>199</v>
      </c>
      <c r="AX21" s="175"/>
      <c r="AY21" s="172"/>
      <c r="AZ21" s="133"/>
      <c r="BA21" s="173">
        <f t="shared" si="35"/>
        <v>0</v>
      </c>
      <c r="BB21" s="29" t="s">
        <v>199</v>
      </c>
      <c r="BC21" s="171" t="s">
        <v>199</v>
      </c>
      <c r="BD21" s="175"/>
      <c r="BE21" s="172"/>
      <c r="BF21" s="133"/>
      <c r="BG21" s="173">
        <f t="shared" si="39"/>
        <v>0</v>
      </c>
      <c r="BH21" s="29" t="s">
        <v>199</v>
      </c>
      <c r="BI21" s="171" t="s">
        <v>199</v>
      </c>
      <c r="BJ21" s="175"/>
      <c r="BK21" s="172"/>
      <c r="BL21" s="133"/>
      <c r="BM21" s="173">
        <f t="shared" si="43"/>
        <v>0</v>
      </c>
      <c r="BN21" s="29" t="s">
        <v>199</v>
      </c>
      <c r="BO21" s="171" t="s">
        <v>199</v>
      </c>
      <c r="BP21" s="175"/>
      <c r="BQ21" s="172"/>
      <c r="BR21" s="133"/>
      <c r="BS21" s="176">
        <f t="shared" si="47"/>
        <v>0</v>
      </c>
      <c r="BT21" s="29" t="s">
        <v>199</v>
      </c>
      <c r="BU21" s="171" t="s">
        <v>199</v>
      </c>
      <c r="BV21" s="175"/>
      <c r="BW21" s="172"/>
      <c r="BX21" s="133"/>
      <c r="BY21" s="176">
        <f t="shared" si="51"/>
        <v>0</v>
      </c>
      <c r="BZ21" s="29" t="s">
        <v>199</v>
      </c>
      <c r="CA21" s="171" t="s">
        <v>199</v>
      </c>
      <c r="CB21" s="175"/>
      <c r="CC21" s="172"/>
      <c r="CD21" s="133"/>
      <c r="CE21" s="176">
        <f t="shared" si="55"/>
        <v>0</v>
      </c>
      <c r="CF21" s="29" t="s">
        <v>199</v>
      </c>
      <c r="CG21" s="171" t="s">
        <v>199</v>
      </c>
      <c r="CH21" s="175"/>
      <c r="CI21" s="172"/>
      <c r="CJ21" s="133"/>
      <c r="CK21" s="176">
        <f t="shared" si="59"/>
        <v>0</v>
      </c>
      <c r="CL21" s="29" t="s">
        <v>199</v>
      </c>
      <c r="CM21" s="171" t="s">
        <v>199</v>
      </c>
      <c r="CN21" s="175"/>
      <c r="CO21" s="172"/>
      <c r="CP21" s="133"/>
      <c r="CQ21" s="176">
        <f t="shared" si="63"/>
        <v>0</v>
      </c>
      <c r="CR21" s="29" t="s">
        <v>199</v>
      </c>
      <c r="CS21" s="171" t="s">
        <v>199</v>
      </c>
      <c r="CT21" s="175"/>
      <c r="CU21" s="172"/>
      <c r="CV21" s="133"/>
      <c r="CW21" s="176">
        <f t="shared" si="67"/>
        <v>0</v>
      </c>
      <c r="CX21" s="29" t="s">
        <v>199</v>
      </c>
      <c r="CY21" s="171" t="s">
        <v>199</v>
      </c>
      <c r="CZ21" s="175"/>
      <c r="DA21" s="172"/>
      <c r="DB21" s="133"/>
      <c r="DC21" s="176">
        <f t="shared" si="71"/>
        <v>0</v>
      </c>
      <c r="DD21" s="29" t="s">
        <v>199</v>
      </c>
      <c r="DE21" s="171" t="s">
        <v>199</v>
      </c>
      <c r="DF21" s="175"/>
      <c r="DG21" s="172"/>
      <c r="DH21" s="133"/>
      <c r="DI21" s="176">
        <f t="shared" si="75"/>
        <v>0</v>
      </c>
      <c r="DJ21" s="29" t="s">
        <v>199</v>
      </c>
      <c r="DK21" s="171" t="s">
        <v>199</v>
      </c>
      <c r="DL21" s="175"/>
      <c r="DM21" s="172"/>
      <c r="DN21" s="133"/>
      <c r="DO21" s="176">
        <f t="shared" si="79"/>
        <v>0</v>
      </c>
      <c r="DP21" s="29" t="s">
        <v>199</v>
      </c>
      <c r="DQ21" s="171" t="s">
        <v>199</v>
      </c>
      <c r="DR21" s="175"/>
      <c r="DS21" s="172"/>
      <c r="DT21" s="133"/>
      <c r="DU21" s="176">
        <f t="shared" si="83"/>
        <v>0</v>
      </c>
      <c r="DV21" s="29" t="s">
        <v>199</v>
      </c>
      <c r="DW21" s="171" t="s">
        <v>199</v>
      </c>
      <c r="DX21" s="157"/>
      <c r="DY21" s="172"/>
      <c r="DZ21" s="138"/>
      <c r="EA21" s="173">
        <f t="shared" si="87"/>
        <v>0</v>
      </c>
      <c r="EB21" s="29" t="s">
        <v>199</v>
      </c>
      <c r="EC21" s="171" t="s">
        <v>199</v>
      </c>
      <c r="ED21" s="157"/>
      <c r="EE21" s="172"/>
      <c r="EF21" s="138"/>
      <c r="EG21" s="173">
        <f t="shared" si="91"/>
        <v>0</v>
      </c>
      <c r="EH21" s="29" t="s">
        <v>199</v>
      </c>
      <c r="EI21" s="171" t="s">
        <v>199</v>
      </c>
      <c r="EJ21" s="157"/>
      <c r="EK21" s="172"/>
      <c r="EL21" s="138"/>
      <c r="EM21" s="173">
        <f t="shared" si="95"/>
        <v>0</v>
      </c>
      <c r="EN21" s="29" t="s">
        <v>199</v>
      </c>
      <c r="EO21" s="171" t="s">
        <v>199</v>
      </c>
      <c r="EP21" s="157"/>
      <c r="EQ21" s="172"/>
      <c r="ER21" s="138">
        <f t="shared" si="98"/>
        <v>0</v>
      </c>
      <c r="ES21" s="173">
        <f t="shared" si="99"/>
        <v>0</v>
      </c>
      <c r="ET21" s="29" t="s">
        <v>199</v>
      </c>
      <c r="EU21" s="171" t="s">
        <v>199</v>
      </c>
      <c r="EV21" s="157"/>
      <c r="EW21" s="172"/>
      <c r="EX21" s="138"/>
      <c r="EY21" s="173">
        <f t="shared" si="103"/>
        <v>0</v>
      </c>
      <c r="EZ21" s="29" t="s">
        <v>199</v>
      </c>
      <c r="FA21" s="171" t="s">
        <v>199</v>
      </c>
      <c r="FB21" s="157"/>
      <c r="FC21" s="172"/>
      <c r="FD21" s="138"/>
      <c r="FE21" s="173">
        <f t="shared" si="107"/>
        <v>0</v>
      </c>
      <c r="FF21" s="29" t="s">
        <v>199</v>
      </c>
      <c r="FG21" s="171" t="s">
        <v>199</v>
      </c>
      <c r="FH21" s="157"/>
      <c r="FI21" s="172"/>
      <c r="FJ21" s="138"/>
      <c r="FK21" s="173">
        <f t="shared" si="111"/>
        <v>0</v>
      </c>
      <c r="FL21" s="29" t="s">
        <v>199</v>
      </c>
      <c r="FM21" s="171" t="s">
        <v>199</v>
      </c>
      <c r="FN21" s="157"/>
      <c r="FO21" s="172"/>
      <c r="FP21" s="138"/>
      <c r="FQ21" s="173">
        <f t="shared" si="115"/>
        <v>0</v>
      </c>
      <c r="FR21" s="29" t="s">
        <v>199</v>
      </c>
      <c r="FS21" s="171" t="s">
        <v>199</v>
      </c>
      <c r="FT21" s="157"/>
      <c r="FU21" s="172"/>
      <c r="FV21" s="138"/>
      <c r="FW21" s="173">
        <f t="shared" si="119"/>
        <v>0</v>
      </c>
      <c r="FX21" s="29" t="s">
        <v>199</v>
      </c>
      <c r="FY21" s="171" t="s">
        <v>199</v>
      </c>
      <c r="FZ21" s="157"/>
      <c r="GA21" s="172"/>
      <c r="GB21" s="138"/>
      <c r="GC21" s="173">
        <f t="shared" si="123"/>
        <v>0</v>
      </c>
      <c r="GD21" s="29" t="s">
        <v>199</v>
      </c>
      <c r="GE21" s="171" t="s">
        <v>199</v>
      </c>
      <c r="GF21" s="157"/>
      <c r="GG21" s="172"/>
      <c r="GH21" s="138"/>
      <c r="GI21" s="176">
        <f t="shared" si="127"/>
        <v>0</v>
      </c>
      <c r="GJ21" s="159">
        <f t="shared" si="128"/>
        <v>0</v>
      </c>
      <c r="GK21" s="160">
        <f t="shared" si="129"/>
        <v>0</v>
      </c>
      <c r="GL21" s="161"/>
      <c r="GM21" s="160" t="e">
        <f t="shared" si="131"/>
        <v>#VALUE!</v>
      </c>
    </row>
    <row r="22" spans="1:195" s="20" customFormat="1" hidden="1" x14ac:dyDescent="0.25">
      <c r="A22" s="177"/>
      <c r="B22" s="163" t="s">
        <v>199</v>
      </c>
      <c r="C22" s="163" t="s">
        <v>199</v>
      </c>
      <c r="D22" s="163" t="s">
        <v>199</v>
      </c>
      <c r="E22" s="163" t="s">
        <v>199</v>
      </c>
      <c r="F22" s="163" t="s">
        <v>199</v>
      </c>
      <c r="G22" s="164">
        <f>'Исходные данные'!C24</f>
        <v>0</v>
      </c>
      <c r="H22" s="165">
        <f>'Исходные данные'!D24</f>
        <v>0</v>
      </c>
      <c r="I22" s="166">
        <f>'Расчет КРП'!G20</f>
        <v>0</v>
      </c>
      <c r="J22" s="167" t="s">
        <v>199</v>
      </c>
      <c r="K22" s="168"/>
      <c r="L22" s="169">
        <f t="shared" si="7"/>
        <v>0</v>
      </c>
      <c r="M22" s="170"/>
      <c r="N22" s="171" t="s">
        <v>199</v>
      </c>
      <c r="O22" s="172"/>
      <c r="P22" s="138">
        <f t="shared" si="10"/>
        <v>0</v>
      </c>
      <c r="Q22" s="173">
        <f t="shared" si="11"/>
        <v>0</v>
      </c>
      <c r="R22" s="174" t="s">
        <v>199</v>
      </c>
      <c r="S22" s="171" t="s">
        <v>199</v>
      </c>
      <c r="T22" s="175"/>
      <c r="U22" s="172"/>
      <c r="V22" s="133">
        <f t="shared" si="14"/>
        <v>0</v>
      </c>
      <c r="W22" s="173">
        <f t="shared" si="15"/>
        <v>0</v>
      </c>
      <c r="X22" s="29" t="s">
        <v>199</v>
      </c>
      <c r="Y22" s="171" t="s">
        <v>199</v>
      </c>
      <c r="Z22" s="175"/>
      <c r="AA22" s="172"/>
      <c r="AB22" s="133"/>
      <c r="AC22" s="173">
        <f t="shared" si="19"/>
        <v>0</v>
      </c>
      <c r="AD22" s="29" t="s">
        <v>199</v>
      </c>
      <c r="AE22" s="171" t="s">
        <v>199</v>
      </c>
      <c r="AF22" s="175"/>
      <c r="AG22" s="172"/>
      <c r="AH22" s="133"/>
      <c r="AI22" s="173">
        <f t="shared" si="23"/>
        <v>0</v>
      </c>
      <c r="AJ22" s="29" t="s">
        <v>199</v>
      </c>
      <c r="AK22" s="171" t="s">
        <v>199</v>
      </c>
      <c r="AL22" s="175"/>
      <c r="AM22" s="172"/>
      <c r="AN22" s="133"/>
      <c r="AO22" s="173">
        <f t="shared" si="27"/>
        <v>0</v>
      </c>
      <c r="AP22" s="29" t="s">
        <v>199</v>
      </c>
      <c r="AQ22" s="171" t="s">
        <v>199</v>
      </c>
      <c r="AR22" s="175"/>
      <c r="AS22" s="172"/>
      <c r="AT22" s="133"/>
      <c r="AU22" s="173">
        <f t="shared" si="31"/>
        <v>0</v>
      </c>
      <c r="AV22" s="29" t="s">
        <v>199</v>
      </c>
      <c r="AW22" s="171" t="s">
        <v>199</v>
      </c>
      <c r="AX22" s="175"/>
      <c r="AY22" s="172"/>
      <c r="AZ22" s="133"/>
      <c r="BA22" s="173">
        <f t="shared" si="35"/>
        <v>0</v>
      </c>
      <c r="BB22" s="29" t="s">
        <v>199</v>
      </c>
      <c r="BC22" s="171" t="s">
        <v>199</v>
      </c>
      <c r="BD22" s="175"/>
      <c r="BE22" s="172"/>
      <c r="BF22" s="133"/>
      <c r="BG22" s="173">
        <f t="shared" si="39"/>
        <v>0</v>
      </c>
      <c r="BH22" s="29" t="s">
        <v>199</v>
      </c>
      <c r="BI22" s="171" t="s">
        <v>199</v>
      </c>
      <c r="BJ22" s="175"/>
      <c r="BK22" s="172"/>
      <c r="BL22" s="133"/>
      <c r="BM22" s="173">
        <f t="shared" si="43"/>
        <v>0</v>
      </c>
      <c r="BN22" s="29" t="s">
        <v>199</v>
      </c>
      <c r="BO22" s="171" t="s">
        <v>199</v>
      </c>
      <c r="BP22" s="175"/>
      <c r="BQ22" s="172"/>
      <c r="BR22" s="133"/>
      <c r="BS22" s="176">
        <f t="shared" si="47"/>
        <v>0</v>
      </c>
      <c r="BT22" s="29" t="s">
        <v>199</v>
      </c>
      <c r="BU22" s="171" t="s">
        <v>199</v>
      </c>
      <c r="BV22" s="175"/>
      <c r="BW22" s="172"/>
      <c r="BX22" s="133"/>
      <c r="BY22" s="176">
        <f t="shared" si="51"/>
        <v>0</v>
      </c>
      <c r="BZ22" s="29" t="s">
        <v>199</v>
      </c>
      <c r="CA22" s="171" t="s">
        <v>199</v>
      </c>
      <c r="CB22" s="175"/>
      <c r="CC22" s="172"/>
      <c r="CD22" s="133"/>
      <c r="CE22" s="176">
        <f t="shared" si="55"/>
        <v>0</v>
      </c>
      <c r="CF22" s="29" t="s">
        <v>199</v>
      </c>
      <c r="CG22" s="171" t="s">
        <v>199</v>
      </c>
      <c r="CH22" s="175"/>
      <c r="CI22" s="172"/>
      <c r="CJ22" s="133"/>
      <c r="CK22" s="176">
        <f t="shared" si="59"/>
        <v>0</v>
      </c>
      <c r="CL22" s="29" t="s">
        <v>199</v>
      </c>
      <c r="CM22" s="171" t="s">
        <v>199</v>
      </c>
      <c r="CN22" s="175"/>
      <c r="CO22" s="172"/>
      <c r="CP22" s="133"/>
      <c r="CQ22" s="176">
        <f t="shared" si="63"/>
        <v>0</v>
      </c>
      <c r="CR22" s="29" t="s">
        <v>199</v>
      </c>
      <c r="CS22" s="171" t="s">
        <v>199</v>
      </c>
      <c r="CT22" s="175"/>
      <c r="CU22" s="172"/>
      <c r="CV22" s="133"/>
      <c r="CW22" s="176">
        <f t="shared" si="67"/>
        <v>0</v>
      </c>
      <c r="CX22" s="29" t="s">
        <v>199</v>
      </c>
      <c r="CY22" s="171" t="s">
        <v>199</v>
      </c>
      <c r="CZ22" s="175"/>
      <c r="DA22" s="172"/>
      <c r="DB22" s="133"/>
      <c r="DC22" s="176">
        <f t="shared" si="71"/>
        <v>0</v>
      </c>
      <c r="DD22" s="29" t="s">
        <v>199</v>
      </c>
      <c r="DE22" s="171" t="s">
        <v>199</v>
      </c>
      <c r="DF22" s="175"/>
      <c r="DG22" s="172"/>
      <c r="DH22" s="133"/>
      <c r="DI22" s="176">
        <f t="shared" si="75"/>
        <v>0</v>
      </c>
      <c r="DJ22" s="29" t="s">
        <v>199</v>
      </c>
      <c r="DK22" s="171" t="s">
        <v>199</v>
      </c>
      <c r="DL22" s="175"/>
      <c r="DM22" s="172"/>
      <c r="DN22" s="133"/>
      <c r="DO22" s="176">
        <f t="shared" si="79"/>
        <v>0</v>
      </c>
      <c r="DP22" s="29" t="s">
        <v>199</v>
      </c>
      <c r="DQ22" s="171" t="s">
        <v>199</v>
      </c>
      <c r="DR22" s="175"/>
      <c r="DS22" s="172"/>
      <c r="DT22" s="133"/>
      <c r="DU22" s="176">
        <f t="shared" si="83"/>
        <v>0</v>
      </c>
      <c r="DV22" s="29" t="s">
        <v>199</v>
      </c>
      <c r="DW22" s="171" t="s">
        <v>199</v>
      </c>
      <c r="DX22" s="157"/>
      <c r="DY22" s="172"/>
      <c r="DZ22" s="138"/>
      <c r="EA22" s="173">
        <f t="shared" si="87"/>
        <v>0</v>
      </c>
      <c r="EB22" s="29" t="s">
        <v>199</v>
      </c>
      <c r="EC22" s="171" t="s">
        <v>199</v>
      </c>
      <c r="ED22" s="157"/>
      <c r="EE22" s="172"/>
      <c r="EF22" s="138"/>
      <c r="EG22" s="173">
        <f t="shared" si="91"/>
        <v>0</v>
      </c>
      <c r="EH22" s="29" t="s">
        <v>199</v>
      </c>
      <c r="EI22" s="171" t="s">
        <v>199</v>
      </c>
      <c r="EJ22" s="157"/>
      <c r="EK22" s="172"/>
      <c r="EL22" s="138"/>
      <c r="EM22" s="173">
        <f t="shared" si="95"/>
        <v>0</v>
      </c>
      <c r="EN22" s="29" t="s">
        <v>199</v>
      </c>
      <c r="EO22" s="171" t="s">
        <v>199</v>
      </c>
      <c r="EP22" s="157"/>
      <c r="EQ22" s="172"/>
      <c r="ER22" s="138">
        <f t="shared" si="98"/>
        <v>0</v>
      </c>
      <c r="ES22" s="173">
        <f t="shared" si="99"/>
        <v>0</v>
      </c>
      <c r="ET22" s="29" t="s">
        <v>199</v>
      </c>
      <c r="EU22" s="171" t="s">
        <v>199</v>
      </c>
      <c r="EV22" s="157"/>
      <c r="EW22" s="172"/>
      <c r="EX22" s="138"/>
      <c r="EY22" s="173">
        <f t="shared" si="103"/>
        <v>0</v>
      </c>
      <c r="EZ22" s="29" t="s">
        <v>199</v>
      </c>
      <c r="FA22" s="171" t="s">
        <v>199</v>
      </c>
      <c r="FB22" s="157"/>
      <c r="FC22" s="172"/>
      <c r="FD22" s="138"/>
      <c r="FE22" s="173">
        <f t="shared" si="107"/>
        <v>0</v>
      </c>
      <c r="FF22" s="29" t="s">
        <v>199</v>
      </c>
      <c r="FG22" s="171" t="s">
        <v>199</v>
      </c>
      <c r="FH22" s="157"/>
      <c r="FI22" s="172"/>
      <c r="FJ22" s="138"/>
      <c r="FK22" s="173">
        <f t="shared" si="111"/>
        <v>0</v>
      </c>
      <c r="FL22" s="29" t="s">
        <v>199</v>
      </c>
      <c r="FM22" s="171" t="s">
        <v>199</v>
      </c>
      <c r="FN22" s="157"/>
      <c r="FO22" s="172"/>
      <c r="FP22" s="138"/>
      <c r="FQ22" s="173">
        <f t="shared" si="115"/>
        <v>0</v>
      </c>
      <c r="FR22" s="29" t="s">
        <v>199</v>
      </c>
      <c r="FS22" s="171" t="s">
        <v>199</v>
      </c>
      <c r="FT22" s="157"/>
      <c r="FU22" s="172"/>
      <c r="FV22" s="138"/>
      <c r="FW22" s="173">
        <f t="shared" si="119"/>
        <v>0</v>
      </c>
      <c r="FX22" s="29" t="s">
        <v>199</v>
      </c>
      <c r="FY22" s="171" t="s">
        <v>199</v>
      </c>
      <c r="FZ22" s="157"/>
      <c r="GA22" s="172"/>
      <c r="GB22" s="138"/>
      <c r="GC22" s="173">
        <f t="shared" si="123"/>
        <v>0</v>
      </c>
      <c r="GD22" s="29" t="s">
        <v>199</v>
      </c>
      <c r="GE22" s="171" t="s">
        <v>199</v>
      </c>
      <c r="GF22" s="157"/>
      <c r="GG22" s="172"/>
      <c r="GH22" s="138"/>
      <c r="GI22" s="176">
        <f t="shared" si="127"/>
        <v>0</v>
      </c>
      <c r="GJ22" s="159">
        <f t="shared" si="128"/>
        <v>0</v>
      </c>
      <c r="GK22" s="160">
        <f t="shared" si="129"/>
        <v>0</v>
      </c>
      <c r="GL22" s="161"/>
      <c r="GM22" s="160" t="e">
        <f t="shared" si="131"/>
        <v>#VALUE!</v>
      </c>
    </row>
    <row r="23" spans="1:195" s="20" customFormat="1" hidden="1" x14ac:dyDescent="0.25">
      <c r="A23" s="177"/>
      <c r="B23" s="163" t="s">
        <v>199</v>
      </c>
      <c r="C23" s="163" t="s">
        <v>199</v>
      </c>
      <c r="D23" s="163" t="s">
        <v>199</v>
      </c>
      <c r="E23" s="163" t="s">
        <v>199</v>
      </c>
      <c r="F23" s="163" t="s">
        <v>199</v>
      </c>
      <c r="G23" s="164">
        <f>'Исходные данные'!C25</f>
        <v>0</v>
      </c>
      <c r="H23" s="165">
        <f>'Исходные данные'!D25</f>
        <v>0</v>
      </c>
      <c r="I23" s="166">
        <f>'Расчет КРП'!G21</f>
        <v>0</v>
      </c>
      <c r="J23" s="167" t="s">
        <v>199</v>
      </c>
      <c r="K23" s="168"/>
      <c r="L23" s="169">
        <f t="shared" si="7"/>
        <v>0</v>
      </c>
      <c r="M23" s="170"/>
      <c r="N23" s="171" t="s">
        <v>199</v>
      </c>
      <c r="O23" s="172"/>
      <c r="P23" s="138">
        <f t="shared" si="10"/>
        <v>0</v>
      </c>
      <c r="Q23" s="173">
        <f t="shared" si="11"/>
        <v>0</v>
      </c>
      <c r="R23" s="174" t="s">
        <v>199</v>
      </c>
      <c r="S23" s="171" t="s">
        <v>199</v>
      </c>
      <c r="T23" s="175"/>
      <c r="U23" s="172"/>
      <c r="V23" s="133">
        <f t="shared" si="14"/>
        <v>0</v>
      </c>
      <c r="W23" s="173">
        <f t="shared" si="15"/>
        <v>0</v>
      </c>
      <c r="X23" s="29" t="s">
        <v>199</v>
      </c>
      <c r="Y23" s="171" t="s">
        <v>199</v>
      </c>
      <c r="Z23" s="175"/>
      <c r="AA23" s="172"/>
      <c r="AB23" s="133"/>
      <c r="AC23" s="173">
        <f t="shared" si="19"/>
        <v>0</v>
      </c>
      <c r="AD23" s="29" t="s">
        <v>199</v>
      </c>
      <c r="AE23" s="171" t="s">
        <v>199</v>
      </c>
      <c r="AF23" s="175"/>
      <c r="AG23" s="172"/>
      <c r="AH23" s="133"/>
      <c r="AI23" s="173">
        <f t="shared" si="23"/>
        <v>0</v>
      </c>
      <c r="AJ23" s="29" t="s">
        <v>199</v>
      </c>
      <c r="AK23" s="171" t="s">
        <v>199</v>
      </c>
      <c r="AL23" s="175"/>
      <c r="AM23" s="172"/>
      <c r="AN23" s="133"/>
      <c r="AO23" s="173">
        <f t="shared" si="27"/>
        <v>0</v>
      </c>
      <c r="AP23" s="29" t="s">
        <v>199</v>
      </c>
      <c r="AQ23" s="171" t="s">
        <v>199</v>
      </c>
      <c r="AR23" s="175"/>
      <c r="AS23" s="172"/>
      <c r="AT23" s="133"/>
      <c r="AU23" s="173">
        <f t="shared" si="31"/>
        <v>0</v>
      </c>
      <c r="AV23" s="29" t="s">
        <v>199</v>
      </c>
      <c r="AW23" s="171" t="s">
        <v>199</v>
      </c>
      <c r="AX23" s="175"/>
      <c r="AY23" s="172"/>
      <c r="AZ23" s="133"/>
      <c r="BA23" s="173">
        <f t="shared" si="35"/>
        <v>0</v>
      </c>
      <c r="BB23" s="29" t="s">
        <v>199</v>
      </c>
      <c r="BC23" s="171" t="s">
        <v>199</v>
      </c>
      <c r="BD23" s="175"/>
      <c r="BE23" s="172"/>
      <c r="BF23" s="133"/>
      <c r="BG23" s="173">
        <f t="shared" si="39"/>
        <v>0</v>
      </c>
      <c r="BH23" s="29" t="s">
        <v>199</v>
      </c>
      <c r="BI23" s="171" t="s">
        <v>199</v>
      </c>
      <c r="BJ23" s="175"/>
      <c r="BK23" s="172"/>
      <c r="BL23" s="133"/>
      <c r="BM23" s="173">
        <f t="shared" si="43"/>
        <v>0</v>
      </c>
      <c r="BN23" s="29" t="s">
        <v>199</v>
      </c>
      <c r="BO23" s="171" t="s">
        <v>199</v>
      </c>
      <c r="BP23" s="175"/>
      <c r="BQ23" s="172"/>
      <c r="BR23" s="133"/>
      <c r="BS23" s="176">
        <f t="shared" si="47"/>
        <v>0</v>
      </c>
      <c r="BT23" s="29" t="s">
        <v>199</v>
      </c>
      <c r="BU23" s="171" t="s">
        <v>199</v>
      </c>
      <c r="BV23" s="175"/>
      <c r="BW23" s="172"/>
      <c r="BX23" s="133"/>
      <c r="BY23" s="176">
        <f t="shared" si="51"/>
        <v>0</v>
      </c>
      <c r="BZ23" s="29" t="s">
        <v>199</v>
      </c>
      <c r="CA23" s="171" t="s">
        <v>199</v>
      </c>
      <c r="CB23" s="175"/>
      <c r="CC23" s="172"/>
      <c r="CD23" s="133"/>
      <c r="CE23" s="176">
        <f t="shared" si="55"/>
        <v>0</v>
      </c>
      <c r="CF23" s="29" t="s">
        <v>199</v>
      </c>
      <c r="CG23" s="171" t="s">
        <v>199</v>
      </c>
      <c r="CH23" s="175"/>
      <c r="CI23" s="172"/>
      <c r="CJ23" s="133"/>
      <c r="CK23" s="176">
        <f t="shared" si="59"/>
        <v>0</v>
      </c>
      <c r="CL23" s="29" t="s">
        <v>199</v>
      </c>
      <c r="CM23" s="171" t="s">
        <v>199</v>
      </c>
      <c r="CN23" s="175"/>
      <c r="CO23" s="172"/>
      <c r="CP23" s="133"/>
      <c r="CQ23" s="176">
        <f t="shared" si="63"/>
        <v>0</v>
      </c>
      <c r="CR23" s="29" t="s">
        <v>199</v>
      </c>
      <c r="CS23" s="171" t="s">
        <v>199</v>
      </c>
      <c r="CT23" s="175"/>
      <c r="CU23" s="172"/>
      <c r="CV23" s="133"/>
      <c r="CW23" s="176">
        <f t="shared" si="67"/>
        <v>0</v>
      </c>
      <c r="CX23" s="29" t="s">
        <v>199</v>
      </c>
      <c r="CY23" s="171" t="s">
        <v>199</v>
      </c>
      <c r="CZ23" s="175"/>
      <c r="DA23" s="172"/>
      <c r="DB23" s="133"/>
      <c r="DC23" s="176">
        <f t="shared" si="71"/>
        <v>0</v>
      </c>
      <c r="DD23" s="29" t="s">
        <v>199</v>
      </c>
      <c r="DE23" s="171" t="s">
        <v>199</v>
      </c>
      <c r="DF23" s="175"/>
      <c r="DG23" s="172"/>
      <c r="DH23" s="133"/>
      <c r="DI23" s="176">
        <f t="shared" si="75"/>
        <v>0</v>
      </c>
      <c r="DJ23" s="29" t="s">
        <v>199</v>
      </c>
      <c r="DK23" s="171" t="s">
        <v>199</v>
      </c>
      <c r="DL23" s="175"/>
      <c r="DM23" s="172"/>
      <c r="DN23" s="133"/>
      <c r="DO23" s="176">
        <f t="shared" si="79"/>
        <v>0</v>
      </c>
      <c r="DP23" s="29" t="s">
        <v>199</v>
      </c>
      <c r="DQ23" s="171" t="s">
        <v>199</v>
      </c>
      <c r="DR23" s="175"/>
      <c r="DS23" s="172"/>
      <c r="DT23" s="133"/>
      <c r="DU23" s="176">
        <f t="shared" si="83"/>
        <v>0</v>
      </c>
      <c r="DV23" s="29" t="s">
        <v>199</v>
      </c>
      <c r="DW23" s="171" t="s">
        <v>199</v>
      </c>
      <c r="DX23" s="157"/>
      <c r="DY23" s="172"/>
      <c r="DZ23" s="138"/>
      <c r="EA23" s="173">
        <f t="shared" si="87"/>
        <v>0</v>
      </c>
      <c r="EB23" s="29" t="s">
        <v>199</v>
      </c>
      <c r="EC23" s="171" t="s">
        <v>199</v>
      </c>
      <c r="ED23" s="157"/>
      <c r="EE23" s="172"/>
      <c r="EF23" s="138"/>
      <c r="EG23" s="173">
        <f t="shared" si="91"/>
        <v>0</v>
      </c>
      <c r="EH23" s="29" t="s">
        <v>199</v>
      </c>
      <c r="EI23" s="171" t="s">
        <v>199</v>
      </c>
      <c r="EJ23" s="157"/>
      <c r="EK23" s="172"/>
      <c r="EL23" s="138"/>
      <c r="EM23" s="173">
        <f t="shared" si="95"/>
        <v>0</v>
      </c>
      <c r="EN23" s="29" t="s">
        <v>199</v>
      </c>
      <c r="EO23" s="171" t="s">
        <v>199</v>
      </c>
      <c r="EP23" s="157"/>
      <c r="EQ23" s="172"/>
      <c r="ER23" s="138">
        <f t="shared" si="98"/>
        <v>0</v>
      </c>
      <c r="ES23" s="173">
        <f t="shared" si="99"/>
        <v>0</v>
      </c>
      <c r="ET23" s="29" t="s">
        <v>199</v>
      </c>
      <c r="EU23" s="171" t="s">
        <v>199</v>
      </c>
      <c r="EV23" s="157"/>
      <c r="EW23" s="172"/>
      <c r="EX23" s="138"/>
      <c r="EY23" s="173">
        <f t="shared" si="103"/>
        <v>0</v>
      </c>
      <c r="EZ23" s="29" t="s">
        <v>199</v>
      </c>
      <c r="FA23" s="171" t="s">
        <v>199</v>
      </c>
      <c r="FB23" s="157"/>
      <c r="FC23" s="172"/>
      <c r="FD23" s="138"/>
      <c r="FE23" s="173">
        <f t="shared" si="107"/>
        <v>0</v>
      </c>
      <c r="FF23" s="29" t="s">
        <v>199</v>
      </c>
      <c r="FG23" s="171" t="s">
        <v>199</v>
      </c>
      <c r="FH23" s="157"/>
      <c r="FI23" s="172"/>
      <c r="FJ23" s="138"/>
      <c r="FK23" s="173">
        <f t="shared" si="111"/>
        <v>0</v>
      </c>
      <c r="FL23" s="29" t="s">
        <v>199</v>
      </c>
      <c r="FM23" s="171" t="s">
        <v>199</v>
      </c>
      <c r="FN23" s="157"/>
      <c r="FO23" s="172"/>
      <c r="FP23" s="138"/>
      <c r="FQ23" s="173">
        <f t="shared" si="115"/>
        <v>0</v>
      </c>
      <c r="FR23" s="29" t="s">
        <v>199</v>
      </c>
      <c r="FS23" s="171" t="s">
        <v>199</v>
      </c>
      <c r="FT23" s="157"/>
      <c r="FU23" s="172"/>
      <c r="FV23" s="138"/>
      <c r="FW23" s="173">
        <f t="shared" si="119"/>
        <v>0</v>
      </c>
      <c r="FX23" s="29" t="s">
        <v>199</v>
      </c>
      <c r="FY23" s="171" t="s">
        <v>199</v>
      </c>
      <c r="FZ23" s="157"/>
      <c r="GA23" s="172"/>
      <c r="GB23" s="138"/>
      <c r="GC23" s="173">
        <f t="shared" si="123"/>
        <v>0</v>
      </c>
      <c r="GD23" s="29" t="s">
        <v>199</v>
      </c>
      <c r="GE23" s="171" t="s">
        <v>199</v>
      </c>
      <c r="GF23" s="157"/>
      <c r="GG23" s="172"/>
      <c r="GH23" s="138"/>
      <c r="GI23" s="176">
        <f t="shared" si="127"/>
        <v>0</v>
      </c>
      <c r="GJ23" s="159">
        <f t="shared" si="128"/>
        <v>0</v>
      </c>
      <c r="GK23" s="160">
        <f t="shared" si="129"/>
        <v>0</v>
      </c>
      <c r="GL23" s="161"/>
      <c r="GM23" s="160" t="e">
        <f t="shared" si="131"/>
        <v>#VALUE!</v>
      </c>
    </row>
    <row r="24" spans="1:195" s="20" customFormat="1" hidden="1" x14ac:dyDescent="0.25">
      <c r="A24" s="177"/>
      <c r="B24" s="163" t="s">
        <v>199</v>
      </c>
      <c r="C24" s="163" t="s">
        <v>199</v>
      </c>
      <c r="D24" s="163" t="s">
        <v>199</v>
      </c>
      <c r="E24" s="163" t="s">
        <v>199</v>
      </c>
      <c r="F24" s="163" t="s">
        <v>199</v>
      </c>
      <c r="G24" s="164">
        <f>'Исходные данные'!C26</f>
        <v>0</v>
      </c>
      <c r="H24" s="165">
        <f>'Исходные данные'!D26</f>
        <v>0</v>
      </c>
      <c r="I24" s="166">
        <f>'Расчет КРП'!G22</f>
        <v>0</v>
      </c>
      <c r="J24" s="167" t="s">
        <v>199</v>
      </c>
      <c r="K24" s="168"/>
      <c r="L24" s="169">
        <f t="shared" si="7"/>
        <v>0</v>
      </c>
      <c r="M24" s="170"/>
      <c r="N24" s="171" t="s">
        <v>199</v>
      </c>
      <c r="O24" s="172"/>
      <c r="P24" s="138">
        <f t="shared" si="10"/>
        <v>0</v>
      </c>
      <c r="Q24" s="173">
        <f t="shared" si="11"/>
        <v>0</v>
      </c>
      <c r="R24" s="174" t="s">
        <v>199</v>
      </c>
      <c r="S24" s="171" t="s">
        <v>199</v>
      </c>
      <c r="T24" s="175"/>
      <c r="U24" s="172"/>
      <c r="V24" s="133">
        <f t="shared" si="14"/>
        <v>0</v>
      </c>
      <c r="W24" s="173">
        <f t="shared" si="15"/>
        <v>0</v>
      </c>
      <c r="X24" s="29" t="s">
        <v>199</v>
      </c>
      <c r="Y24" s="171" t="s">
        <v>199</v>
      </c>
      <c r="Z24" s="175"/>
      <c r="AA24" s="172"/>
      <c r="AB24" s="133"/>
      <c r="AC24" s="173">
        <f t="shared" si="19"/>
        <v>0</v>
      </c>
      <c r="AD24" s="29" t="s">
        <v>199</v>
      </c>
      <c r="AE24" s="171" t="s">
        <v>199</v>
      </c>
      <c r="AF24" s="175"/>
      <c r="AG24" s="172"/>
      <c r="AH24" s="133"/>
      <c r="AI24" s="173">
        <f t="shared" si="23"/>
        <v>0</v>
      </c>
      <c r="AJ24" s="29" t="s">
        <v>199</v>
      </c>
      <c r="AK24" s="171" t="s">
        <v>199</v>
      </c>
      <c r="AL24" s="175"/>
      <c r="AM24" s="172"/>
      <c r="AN24" s="133"/>
      <c r="AO24" s="173">
        <f t="shared" si="27"/>
        <v>0</v>
      </c>
      <c r="AP24" s="29" t="s">
        <v>199</v>
      </c>
      <c r="AQ24" s="171" t="s">
        <v>199</v>
      </c>
      <c r="AR24" s="175"/>
      <c r="AS24" s="172"/>
      <c r="AT24" s="133"/>
      <c r="AU24" s="173">
        <f t="shared" si="31"/>
        <v>0</v>
      </c>
      <c r="AV24" s="29" t="s">
        <v>199</v>
      </c>
      <c r="AW24" s="171" t="s">
        <v>199</v>
      </c>
      <c r="AX24" s="175"/>
      <c r="AY24" s="172"/>
      <c r="AZ24" s="133"/>
      <c r="BA24" s="173">
        <f t="shared" si="35"/>
        <v>0</v>
      </c>
      <c r="BB24" s="29" t="s">
        <v>199</v>
      </c>
      <c r="BC24" s="171" t="s">
        <v>199</v>
      </c>
      <c r="BD24" s="175"/>
      <c r="BE24" s="172"/>
      <c r="BF24" s="133"/>
      <c r="BG24" s="173">
        <f t="shared" si="39"/>
        <v>0</v>
      </c>
      <c r="BH24" s="29" t="s">
        <v>199</v>
      </c>
      <c r="BI24" s="171" t="s">
        <v>199</v>
      </c>
      <c r="BJ24" s="175"/>
      <c r="BK24" s="172"/>
      <c r="BL24" s="133"/>
      <c r="BM24" s="173">
        <f t="shared" si="43"/>
        <v>0</v>
      </c>
      <c r="BN24" s="29" t="s">
        <v>199</v>
      </c>
      <c r="BO24" s="171" t="s">
        <v>199</v>
      </c>
      <c r="BP24" s="175"/>
      <c r="BQ24" s="172"/>
      <c r="BR24" s="133"/>
      <c r="BS24" s="176">
        <f t="shared" si="47"/>
        <v>0</v>
      </c>
      <c r="BT24" s="29" t="s">
        <v>199</v>
      </c>
      <c r="BU24" s="171" t="s">
        <v>199</v>
      </c>
      <c r="BV24" s="175"/>
      <c r="BW24" s="172"/>
      <c r="BX24" s="133"/>
      <c r="BY24" s="176">
        <f t="shared" si="51"/>
        <v>0</v>
      </c>
      <c r="BZ24" s="29" t="s">
        <v>199</v>
      </c>
      <c r="CA24" s="171" t="s">
        <v>199</v>
      </c>
      <c r="CB24" s="175"/>
      <c r="CC24" s="172"/>
      <c r="CD24" s="133"/>
      <c r="CE24" s="176">
        <f t="shared" si="55"/>
        <v>0</v>
      </c>
      <c r="CF24" s="29" t="s">
        <v>199</v>
      </c>
      <c r="CG24" s="171" t="s">
        <v>199</v>
      </c>
      <c r="CH24" s="175"/>
      <c r="CI24" s="172"/>
      <c r="CJ24" s="133"/>
      <c r="CK24" s="176">
        <f t="shared" si="59"/>
        <v>0</v>
      </c>
      <c r="CL24" s="29" t="s">
        <v>199</v>
      </c>
      <c r="CM24" s="171" t="s">
        <v>199</v>
      </c>
      <c r="CN24" s="175"/>
      <c r="CO24" s="172"/>
      <c r="CP24" s="133"/>
      <c r="CQ24" s="176">
        <f t="shared" si="63"/>
        <v>0</v>
      </c>
      <c r="CR24" s="29" t="s">
        <v>199</v>
      </c>
      <c r="CS24" s="171" t="s">
        <v>199</v>
      </c>
      <c r="CT24" s="175"/>
      <c r="CU24" s="172"/>
      <c r="CV24" s="133"/>
      <c r="CW24" s="176">
        <f t="shared" si="67"/>
        <v>0</v>
      </c>
      <c r="CX24" s="29" t="s">
        <v>199</v>
      </c>
      <c r="CY24" s="171" t="s">
        <v>199</v>
      </c>
      <c r="CZ24" s="175"/>
      <c r="DA24" s="172"/>
      <c r="DB24" s="133"/>
      <c r="DC24" s="176">
        <f t="shared" si="71"/>
        <v>0</v>
      </c>
      <c r="DD24" s="29" t="s">
        <v>199</v>
      </c>
      <c r="DE24" s="171" t="s">
        <v>199</v>
      </c>
      <c r="DF24" s="175"/>
      <c r="DG24" s="172"/>
      <c r="DH24" s="133"/>
      <c r="DI24" s="176">
        <f t="shared" si="75"/>
        <v>0</v>
      </c>
      <c r="DJ24" s="29" t="s">
        <v>199</v>
      </c>
      <c r="DK24" s="171" t="s">
        <v>199</v>
      </c>
      <c r="DL24" s="175"/>
      <c r="DM24" s="172"/>
      <c r="DN24" s="133"/>
      <c r="DO24" s="176">
        <f t="shared" si="79"/>
        <v>0</v>
      </c>
      <c r="DP24" s="29" t="s">
        <v>199</v>
      </c>
      <c r="DQ24" s="171" t="s">
        <v>199</v>
      </c>
      <c r="DR24" s="175"/>
      <c r="DS24" s="172"/>
      <c r="DT24" s="133"/>
      <c r="DU24" s="176">
        <f t="shared" si="83"/>
        <v>0</v>
      </c>
      <c r="DV24" s="29" t="s">
        <v>199</v>
      </c>
      <c r="DW24" s="171" t="s">
        <v>199</v>
      </c>
      <c r="DX24" s="157"/>
      <c r="DY24" s="172"/>
      <c r="DZ24" s="138"/>
      <c r="EA24" s="173">
        <f t="shared" si="87"/>
        <v>0</v>
      </c>
      <c r="EB24" s="29" t="s">
        <v>199</v>
      </c>
      <c r="EC24" s="171" t="s">
        <v>199</v>
      </c>
      <c r="ED24" s="157"/>
      <c r="EE24" s="172"/>
      <c r="EF24" s="138"/>
      <c r="EG24" s="173">
        <f t="shared" si="91"/>
        <v>0</v>
      </c>
      <c r="EH24" s="29" t="s">
        <v>199</v>
      </c>
      <c r="EI24" s="171" t="s">
        <v>199</v>
      </c>
      <c r="EJ24" s="157"/>
      <c r="EK24" s="172"/>
      <c r="EL24" s="138"/>
      <c r="EM24" s="173">
        <f t="shared" si="95"/>
        <v>0</v>
      </c>
      <c r="EN24" s="29" t="s">
        <v>199</v>
      </c>
      <c r="EO24" s="171" t="s">
        <v>199</v>
      </c>
      <c r="EP24" s="157"/>
      <c r="EQ24" s="172"/>
      <c r="ER24" s="138">
        <f t="shared" si="98"/>
        <v>0</v>
      </c>
      <c r="ES24" s="173">
        <f t="shared" si="99"/>
        <v>0</v>
      </c>
      <c r="ET24" s="29" t="s">
        <v>199</v>
      </c>
      <c r="EU24" s="171" t="s">
        <v>199</v>
      </c>
      <c r="EV24" s="157"/>
      <c r="EW24" s="172"/>
      <c r="EX24" s="138"/>
      <c r="EY24" s="173">
        <f t="shared" si="103"/>
        <v>0</v>
      </c>
      <c r="EZ24" s="29" t="s">
        <v>199</v>
      </c>
      <c r="FA24" s="171" t="s">
        <v>199</v>
      </c>
      <c r="FB24" s="157"/>
      <c r="FC24" s="172"/>
      <c r="FD24" s="138"/>
      <c r="FE24" s="173">
        <f t="shared" si="107"/>
        <v>0</v>
      </c>
      <c r="FF24" s="29" t="s">
        <v>199</v>
      </c>
      <c r="FG24" s="171" t="s">
        <v>199</v>
      </c>
      <c r="FH24" s="157"/>
      <c r="FI24" s="172"/>
      <c r="FJ24" s="138"/>
      <c r="FK24" s="173">
        <f t="shared" si="111"/>
        <v>0</v>
      </c>
      <c r="FL24" s="29" t="s">
        <v>199</v>
      </c>
      <c r="FM24" s="171" t="s">
        <v>199</v>
      </c>
      <c r="FN24" s="157"/>
      <c r="FO24" s="172"/>
      <c r="FP24" s="138"/>
      <c r="FQ24" s="173">
        <f t="shared" si="115"/>
        <v>0</v>
      </c>
      <c r="FR24" s="29" t="s">
        <v>199</v>
      </c>
      <c r="FS24" s="171" t="s">
        <v>199</v>
      </c>
      <c r="FT24" s="157"/>
      <c r="FU24" s="172"/>
      <c r="FV24" s="138"/>
      <c r="FW24" s="173">
        <f t="shared" si="119"/>
        <v>0</v>
      </c>
      <c r="FX24" s="29" t="s">
        <v>199</v>
      </c>
      <c r="FY24" s="171" t="s">
        <v>199</v>
      </c>
      <c r="FZ24" s="157"/>
      <c r="GA24" s="172"/>
      <c r="GB24" s="138"/>
      <c r="GC24" s="173">
        <f t="shared" si="123"/>
        <v>0</v>
      </c>
      <c r="GD24" s="29" t="s">
        <v>199</v>
      </c>
      <c r="GE24" s="171" t="s">
        <v>199</v>
      </c>
      <c r="GF24" s="157"/>
      <c r="GG24" s="172"/>
      <c r="GH24" s="138"/>
      <c r="GI24" s="176">
        <f t="shared" si="127"/>
        <v>0</v>
      </c>
      <c r="GJ24" s="159">
        <f t="shared" si="128"/>
        <v>0</v>
      </c>
      <c r="GK24" s="160">
        <f t="shared" si="129"/>
        <v>0</v>
      </c>
      <c r="GL24" s="161"/>
      <c r="GM24" s="160" t="e">
        <f t="shared" si="131"/>
        <v>#VALUE!</v>
      </c>
    </row>
    <row r="25" spans="1:195" s="20" customFormat="1" hidden="1" x14ac:dyDescent="0.25">
      <c r="A25" s="177"/>
      <c r="B25" s="163" t="s">
        <v>199</v>
      </c>
      <c r="C25" s="163" t="s">
        <v>199</v>
      </c>
      <c r="D25" s="163" t="s">
        <v>199</v>
      </c>
      <c r="E25" s="163" t="s">
        <v>199</v>
      </c>
      <c r="F25" s="163" t="s">
        <v>199</v>
      </c>
      <c r="G25" s="164">
        <f>'Исходные данные'!C27</f>
        <v>0</v>
      </c>
      <c r="H25" s="165">
        <f>'Исходные данные'!D27</f>
        <v>0</v>
      </c>
      <c r="I25" s="166">
        <f>'Расчет КРП'!G23</f>
        <v>0</v>
      </c>
      <c r="J25" s="167" t="s">
        <v>199</v>
      </c>
      <c r="K25" s="168"/>
      <c r="L25" s="169">
        <f t="shared" si="7"/>
        <v>0</v>
      </c>
      <c r="M25" s="170"/>
      <c r="N25" s="171" t="s">
        <v>199</v>
      </c>
      <c r="O25" s="172"/>
      <c r="P25" s="138">
        <f t="shared" si="10"/>
        <v>0</v>
      </c>
      <c r="Q25" s="173">
        <f t="shared" si="11"/>
        <v>0</v>
      </c>
      <c r="R25" s="174" t="s">
        <v>199</v>
      </c>
      <c r="S25" s="171" t="s">
        <v>199</v>
      </c>
      <c r="T25" s="175"/>
      <c r="U25" s="172"/>
      <c r="V25" s="133">
        <f t="shared" si="14"/>
        <v>0</v>
      </c>
      <c r="W25" s="173">
        <f t="shared" si="15"/>
        <v>0</v>
      </c>
      <c r="X25" s="29" t="s">
        <v>199</v>
      </c>
      <c r="Y25" s="171" t="s">
        <v>199</v>
      </c>
      <c r="Z25" s="175"/>
      <c r="AA25" s="172"/>
      <c r="AB25" s="133"/>
      <c r="AC25" s="173">
        <f t="shared" si="19"/>
        <v>0</v>
      </c>
      <c r="AD25" s="29" t="s">
        <v>199</v>
      </c>
      <c r="AE25" s="171" t="s">
        <v>199</v>
      </c>
      <c r="AF25" s="175"/>
      <c r="AG25" s="172"/>
      <c r="AH25" s="133"/>
      <c r="AI25" s="173">
        <f t="shared" si="23"/>
        <v>0</v>
      </c>
      <c r="AJ25" s="29" t="s">
        <v>199</v>
      </c>
      <c r="AK25" s="171" t="s">
        <v>199</v>
      </c>
      <c r="AL25" s="175"/>
      <c r="AM25" s="172"/>
      <c r="AN25" s="133"/>
      <c r="AO25" s="173">
        <f t="shared" si="27"/>
        <v>0</v>
      </c>
      <c r="AP25" s="29" t="s">
        <v>199</v>
      </c>
      <c r="AQ25" s="171" t="s">
        <v>199</v>
      </c>
      <c r="AR25" s="175"/>
      <c r="AS25" s="172"/>
      <c r="AT25" s="133"/>
      <c r="AU25" s="173">
        <f t="shared" si="31"/>
        <v>0</v>
      </c>
      <c r="AV25" s="29" t="s">
        <v>199</v>
      </c>
      <c r="AW25" s="171" t="s">
        <v>199</v>
      </c>
      <c r="AX25" s="175"/>
      <c r="AY25" s="172"/>
      <c r="AZ25" s="133"/>
      <c r="BA25" s="173">
        <f t="shared" si="35"/>
        <v>0</v>
      </c>
      <c r="BB25" s="29" t="s">
        <v>199</v>
      </c>
      <c r="BC25" s="171" t="s">
        <v>199</v>
      </c>
      <c r="BD25" s="175"/>
      <c r="BE25" s="172"/>
      <c r="BF25" s="133"/>
      <c r="BG25" s="173">
        <f t="shared" si="39"/>
        <v>0</v>
      </c>
      <c r="BH25" s="29" t="s">
        <v>199</v>
      </c>
      <c r="BI25" s="171" t="s">
        <v>199</v>
      </c>
      <c r="BJ25" s="175"/>
      <c r="BK25" s="172"/>
      <c r="BL25" s="133"/>
      <c r="BM25" s="173">
        <f t="shared" si="43"/>
        <v>0</v>
      </c>
      <c r="BN25" s="29" t="s">
        <v>199</v>
      </c>
      <c r="BO25" s="171" t="s">
        <v>199</v>
      </c>
      <c r="BP25" s="175"/>
      <c r="BQ25" s="172"/>
      <c r="BR25" s="133"/>
      <c r="BS25" s="176">
        <f t="shared" si="47"/>
        <v>0</v>
      </c>
      <c r="BT25" s="29" t="s">
        <v>199</v>
      </c>
      <c r="BU25" s="171" t="s">
        <v>199</v>
      </c>
      <c r="BV25" s="175"/>
      <c r="BW25" s="172"/>
      <c r="BX25" s="133"/>
      <c r="BY25" s="176">
        <f t="shared" si="51"/>
        <v>0</v>
      </c>
      <c r="BZ25" s="29" t="s">
        <v>199</v>
      </c>
      <c r="CA25" s="171" t="s">
        <v>199</v>
      </c>
      <c r="CB25" s="175"/>
      <c r="CC25" s="172"/>
      <c r="CD25" s="133"/>
      <c r="CE25" s="176">
        <f t="shared" si="55"/>
        <v>0</v>
      </c>
      <c r="CF25" s="29" t="s">
        <v>199</v>
      </c>
      <c r="CG25" s="171" t="s">
        <v>199</v>
      </c>
      <c r="CH25" s="175"/>
      <c r="CI25" s="172"/>
      <c r="CJ25" s="133"/>
      <c r="CK25" s="176">
        <f t="shared" si="59"/>
        <v>0</v>
      </c>
      <c r="CL25" s="29" t="s">
        <v>199</v>
      </c>
      <c r="CM25" s="171" t="s">
        <v>199</v>
      </c>
      <c r="CN25" s="175"/>
      <c r="CO25" s="172"/>
      <c r="CP25" s="133"/>
      <c r="CQ25" s="176">
        <f t="shared" si="63"/>
        <v>0</v>
      </c>
      <c r="CR25" s="29" t="s">
        <v>199</v>
      </c>
      <c r="CS25" s="171" t="s">
        <v>199</v>
      </c>
      <c r="CT25" s="175"/>
      <c r="CU25" s="172"/>
      <c r="CV25" s="133"/>
      <c r="CW25" s="176">
        <f t="shared" si="67"/>
        <v>0</v>
      </c>
      <c r="CX25" s="29" t="s">
        <v>199</v>
      </c>
      <c r="CY25" s="171" t="s">
        <v>199</v>
      </c>
      <c r="CZ25" s="175"/>
      <c r="DA25" s="172"/>
      <c r="DB25" s="133"/>
      <c r="DC25" s="176">
        <f t="shared" si="71"/>
        <v>0</v>
      </c>
      <c r="DD25" s="29" t="s">
        <v>199</v>
      </c>
      <c r="DE25" s="171" t="s">
        <v>199</v>
      </c>
      <c r="DF25" s="175"/>
      <c r="DG25" s="172"/>
      <c r="DH25" s="133"/>
      <c r="DI25" s="176">
        <f t="shared" si="75"/>
        <v>0</v>
      </c>
      <c r="DJ25" s="29" t="s">
        <v>199</v>
      </c>
      <c r="DK25" s="171" t="s">
        <v>199</v>
      </c>
      <c r="DL25" s="175"/>
      <c r="DM25" s="172"/>
      <c r="DN25" s="133"/>
      <c r="DO25" s="176">
        <f t="shared" si="79"/>
        <v>0</v>
      </c>
      <c r="DP25" s="29" t="s">
        <v>199</v>
      </c>
      <c r="DQ25" s="171" t="s">
        <v>199</v>
      </c>
      <c r="DR25" s="175"/>
      <c r="DS25" s="172"/>
      <c r="DT25" s="133"/>
      <c r="DU25" s="176">
        <f t="shared" si="83"/>
        <v>0</v>
      </c>
      <c r="DV25" s="29" t="s">
        <v>199</v>
      </c>
      <c r="DW25" s="171" t="s">
        <v>199</v>
      </c>
      <c r="DX25" s="157"/>
      <c r="DY25" s="172"/>
      <c r="DZ25" s="138"/>
      <c r="EA25" s="173">
        <f t="shared" si="87"/>
        <v>0</v>
      </c>
      <c r="EB25" s="29" t="s">
        <v>199</v>
      </c>
      <c r="EC25" s="171" t="s">
        <v>199</v>
      </c>
      <c r="ED25" s="157"/>
      <c r="EE25" s="172"/>
      <c r="EF25" s="138"/>
      <c r="EG25" s="173">
        <f t="shared" si="91"/>
        <v>0</v>
      </c>
      <c r="EH25" s="29" t="s">
        <v>199</v>
      </c>
      <c r="EI25" s="171" t="s">
        <v>199</v>
      </c>
      <c r="EJ25" s="157"/>
      <c r="EK25" s="172"/>
      <c r="EL25" s="138"/>
      <c r="EM25" s="173">
        <f t="shared" si="95"/>
        <v>0</v>
      </c>
      <c r="EN25" s="29" t="s">
        <v>199</v>
      </c>
      <c r="EO25" s="171" t="s">
        <v>199</v>
      </c>
      <c r="EP25" s="157"/>
      <c r="EQ25" s="172"/>
      <c r="ER25" s="138">
        <f t="shared" si="98"/>
        <v>0</v>
      </c>
      <c r="ES25" s="173">
        <f t="shared" si="99"/>
        <v>0</v>
      </c>
      <c r="ET25" s="29" t="s">
        <v>199</v>
      </c>
      <c r="EU25" s="171" t="s">
        <v>199</v>
      </c>
      <c r="EV25" s="157"/>
      <c r="EW25" s="172"/>
      <c r="EX25" s="138"/>
      <c r="EY25" s="173">
        <f t="shared" si="103"/>
        <v>0</v>
      </c>
      <c r="EZ25" s="29" t="s">
        <v>199</v>
      </c>
      <c r="FA25" s="171" t="s">
        <v>199</v>
      </c>
      <c r="FB25" s="157"/>
      <c r="FC25" s="172"/>
      <c r="FD25" s="138"/>
      <c r="FE25" s="173">
        <f t="shared" si="107"/>
        <v>0</v>
      </c>
      <c r="FF25" s="29" t="s">
        <v>199</v>
      </c>
      <c r="FG25" s="171" t="s">
        <v>199</v>
      </c>
      <c r="FH25" s="157"/>
      <c r="FI25" s="172"/>
      <c r="FJ25" s="138"/>
      <c r="FK25" s="173">
        <f t="shared" si="111"/>
        <v>0</v>
      </c>
      <c r="FL25" s="29" t="s">
        <v>199</v>
      </c>
      <c r="FM25" s="171" t="s">
        <v>199</v>
      </c>
      <c r="FN25" s="157"/>
      <c r="FO25" s="172"/>
      <c r="FP25" s="138"/>
      <c r="FQ25" s="173">
        <f t="shared" si="115"/>
        <v>0</v>
      </c>
      <c r="FR25" s="29" t="s">
        <v>199</v>
      </c>
      <c r="FS25" s="171" t="s">
        <v>199</v>
      </c>
      <c r="FT25" s="157"/>
      <c r="FU25" s="172"/>
      <c r="FV25" s="138"/>
      <c r="FW25" s="173">
        <f t="shared" si="119"/>
        <v>0</v>
      </c>
      <c r="FX25" s="29" t="s">
        <v>199</v>
      </c>
      <c r="FY25" s="171" t="s">
        <v>199</v>
      </c>
      <c r="FZ25" s="157"/>
      <c r="GA25" s="172"/>
      <c r="GB25" s="138"/>
      <c r="GC25" s="173">
        <f t="shared" si="123"/>
        <v>0</v>
      </c>
      <c r="GD25" s="29" t="s">
        <v>199</v>
      </c>
      <c r="GE25" s="171" t="s">
        <v>199</v>
      </c>
      <c r="GF25" s="157"/>
      <c r="GG25" s="172"/>
      <c r="GH25" s="138"/>
      <c r="GI25" s="176">
        <f t="shared" si="127"/>
        <v>0</v>
      </c>
      <c r="GJ25" s="159">
        <f t="shared" si="128"/>
        <v>0</v>
      </c>
      <c r="GK25" s="160">
        <f t="shared" si="129"/>
        <v>0</v>
      </c>
      <c r="GL25" s="161"/>
      <c r="GM25" s="160" t="e">
        <f t="shared" si="131"/>
        <v>#VALUE!</v>
      </c>
    </row>
    <row r="26" spans="1:195" s="20" customFormat="1" hidden="1" x14ac:dyDescent="0.25">
      <c r="A26" s="177"/>
      <c r="B26" s="163" t="s">
        <v>199</v>
      </c>
      <c r="C26" s="163" t="s">
        <v>199</v>
      </c>
      <c r="D26" s="163" t="s">
        <v>199</v>
      </c>
      <c r="E26" s="163" t="s">
        <v>199</v>
      </c>
      <c r="F26" s="163" t="s">
        <v>199</v>
      </c>
      <c r="G26" s="164">
        <f>'Исходные данные'!C28</f>
        <v>0</v>
      </c>
      <c r="H26" s="165">
        <f>'Исходные данные'!D28</f>
        <v>0</v>
      </c>
      <c r="I26" s="166">
        <f>'Расчет КРП'!G24</f>
        <v>0</v>
      </c>
      <c r="J26" s="167" t="s">
        <v>199</v>
      </c>
      <c r="K26" s="168"/>
      <c r="L26" s="169">
        <f t="shared" si="7"/>
        <v>0</v>
      </c>
      <c r="M26" s="170"/>
      <c r="N26" s="171" t="s">
        <v>199</v>
      </c>
      <c r="O26" s="172"/>
      <c r="P26" s="138">
        <f t="shared" si="10"/>
        <v>0</v>
      </c>
      <c r="Q26" s="173">
        <f t="shared" si="11"/>
        <v>0</v>
      </c>
      <c r="R26" s="174" t="s">
        <v>199</v>
      </c>
      <c r="S26" s="171" t="s">
        <v>199</v>
      </c>
      <c r="T26" s="175"/>
      <c r="U26" s="172"/>
      <c r="V26" s="133">
        <f t="shared" si="14"/>
        <v>0</v>
      </c>
      <c r="W26" s="173">
        <f t="shared" si="15"/>
        <v>0</v>
      </c>
      <c r="X26" s="29" t="s">
        <v>199</v>
      </c>
      <c r="Y26" s="171" t="s">
        <v>199</v>
      </c>
      <c r="Z26" s="175"/>
      <c r="AA26" s="172"/>
      <c r="AB26" s="133"/>
      <c r="AC26" s="173">
        <f t="shared" si="19"/>
        <v>0</v>
      </c>
      <c r="AD26" s="29" t="s">
        <v>199</v>
      </c>
      <c r="AE26" s="171" t="s">
        <v>199</v>
      </c>
      <c r="AF26" s="175"/>
      <c r="AG26" s="172"/>
      <c r="AH26" s="133"/>
      <c r="AI26" s="173">
        <f t="shared" si="23"/>
        <v>0</v>
      </c>
      <c r="AJ26" s="29" t="s">
        <v>199</v>
      </c>
      <c r="AK26" s="171" t="s">
        <v>199</v>
      </c>
      <c r="AL26" s="175"/>
      <c r="AM26" s="172"/>
      <c r="AN26" s="133"/>
      <c r="AO26" s="173">
        <f t="shared" si="27"/>
        <v>0</v>
      </c>
      <c r="AP26" s="29" t="s">
        <v>199</v>
      </c>
      <c r="AQ26" s="171" t="s">
        <v>199</v>
      </c>
      <c r="AR26" s="175"/>
      <c r="AS26" s="172"/>
      <c r="AT26" s="133"/>
      <c r="AU26" s="173">
        <f t="shared" si="31"/>
        <v>0</v>
      </c>
      <c r="AV26" s="29" t="s">
        <v>199</v>
      </c>
      <c r="AW26" s="171" t="s">
        <v>199</v>
      </c>
      <c r="AX26" s="175"/>
      <c r="AY26" s="172"/>
      <c r="AZ26" s="133"/>
      <c r="BA26" s="173">
        <f t="shared" si="35"/>
        <v>0</v>
      </c>
      <c r="BB26" s="29" t="s">
        <v>199</v>
      </c>
      <c r="BC26" s="171" t="s">
        <v>199</v>
      </c>
      <c r="BD26" s="175"/>
      <c r="BE26" s="172"/>
      <c r="BF26" s="133"/>
      <c r="BG26" s="173">
        <f t="shared" si="39"/>
        <v>0</v>
      </c>
      <c r="BH26" s="29" t="s">
        <v>199</v>
      </c>
      <c r="BI26" s="171" t="s">
        <v>199</v>
      </c>
      <c r="BJ26" s="175"/>
      <c r="BK26" s="172"/>
      <c r="BL26" s="133"/>
      <c r="BM26" s="173">
        <f t="shared" si="43"/>
        <v>0</v>
      </c>
      <c r="BN26" s="29" t="s">
        <v>199</v>
      </c>
      <c r="BO26" s="171" t="s">
        <v>199</v>
      </c>
      <c r="BP26" s="175"/>
      <c r="BQ26" s="172"/>
      <c r="BR26" s="133"/>
      <c r="BS26" s="176">
        <f t="shared" si="47"/>
        <v>0</v>
      </c>
      <c r="BT26" s="29" t="s">
        <v>199</v>
      </c>
      <c r="BU26" s="171" t="s">
        <v>199</v>
      </c>
      <c r="BV26" s="175"/>
      <c r="BW26" s="172"/>
      <c r="BX26" s="133"/>
      <c r="BY26" s="176">
        <f t="shared" si="51"/>
        <v>0</v>
      </c>
      <c r="BZ26" s="29" t="s">
        <v>199</v>
      </c>
      <c r="CA26" s="171" t="s">
        <v>199</v>
      </c>
      <c r="CB26" s="175"/>
      <c r="CC26" s="172"/>
      <c r="CD26" s="133"/>
      <c r="CE26" s="176">
        <f t="shared" si="55"/>
        <v>0</v>
      </c>
      <c r="CF26" s="29" t="s">
        <v>199</v>
      </c>
      <c r="CG26" s="171" t="s">
        <v>199</v>
      </c>
      <c r="CH26" s="175"/>
      <c r="CI26" s="172"/>
      <c r="CJ26" s="133"/>
      <c r="CK26" s="176">
        <f t="shared" si="59"/>
        <v>0</v>
      </c>
      <c r="CL26" s="29" t="s">
        <v>199</v>
      </c>
      <c r="CM26" s="171" t="s">
        <v>199</v>
      </c>
      <c r="CN26" s="175"/>
      <c r="CO26" s="172"/>
      <c r="CP26" s="133"/>
      <c r="CQ26" s="176">
        <f t="shared" si="63"/>
        <v>0</v>
      </c>
      <c r="CR26" s="29" t="s">
        <v>199</v>
      </c>
      <c r="CS26" s="171" t="s">
        <v>199</v>
      </c>
      <c r="CT26" s="175"/>
      <c r="CU26" s="172"/>
      <c r="CV26" s="133"/>
      <c r="CW26" s="176">
        <f t="shared" si="67"/>
        <v>0</v>
      </c>
      <c r="CX26" s="29" t="s">
        <v>199</v>
      </c>
      <c r="CY26" s="171" t="s">
        <v>199</v>
      </c>
      <c r="CZ26" s="175"/>
      <c r="DA26" s="172"/>
      <c r="DB26" s="133"/>
      <c r="DC26" s="176">
        <f t="shared" si="71"/>
        <v>0</v>
      </c>
      <c r="DD26" s="29" t="s">
        <v>199</v>
      </c>
      <c r="DE26" s="171" t="s">
        <v>199</v>
      </c>
      <c r="DF26" s="175"/>
      <c r="DG26" s="172"/>
      <c r="DH26" s="133"/>
      <c r="DI26" s="176">
        <f t="shared" si="75"/>
        <v>0</v>
      </c>
      <c r="DJ26" s="29" t="s">
        <v>199</v>
      </c>
      <c r="DK26" s="171" t="s">
        <v>199</v>
      </c>
      <c r="DL26" s="175"/>
      <c r="DM26" s="172"/>
      <c r="DN26" s="133"/>
      <c r="DO26" s="176">
        <f t="shared" si="79"/>
        <v>0</v>
      </c>
      <c r="DP26" s="29" t="s">
        <v>199</v>
      </c>
      <c r="DQ26" s="171" t="s">
        <v>199</v>
      </c>
      <c r="DR26" s="175"/>
      <c r="DS26" s="172"/>
      <c r="DT26" s="133"/>
      <c r="DU26" s="176">
        <f t="shared" si="83"/>
        <v>0</v>
      </c>
      <c r="DV26" s="29" t="s">
        <v>199</v>
      </c>
      <c r="DW26" s="171" t="s">
        <v>199</v>
      </c>
      <c r="DX26" s="157"/>
      <c r="DY26" s="172"/>
      <c r="DZ26" s="138"/>
      <c r="EA26" s="173">
        <f t="shared" si="87"/>
        <v>0</v>
      </c>
      <c r="EB26" s="29" t="s">
        <v>199</v>
      </c>
      <c r="EC26" s="171" t="s">
        <v>199</v>
      </c>
      <c r="ED26" s="157"/>
      <c r="EE26" s="172"/>
      <c r="EF26" s="138"/>
      <c r="EG26" s="173">
        <f t="shared" si="91"/>
        <v>0</v>
      </c>
      <c r="EH26" s="29" t="s">
        <v>199</v>
      </c>
      <c r="EI26" s="171" t="s">
        <v>199</v>
      </c>
      <c r="EJ26" s="157"/>
      <c r="EK26" s="172"/>
      <c r="EL26" s="138"/>
      <c r="EM26" s="173">
        <f t="shared" si="95"/>
        <v>0</v>
      </c>
      <c r="EN26" s="29" t="s">
        <v>199</v>
      </c>
      <c r="EO26" s="171" t="s">
        <v>199</v>
      </c>
      <c r="EP26" s="157"/>
      <c r="EQ26" s="172"/>
      <c r="ER26" s="138">
        <f t="shared" si="98"/>
        <v>0</v>
      </c>
      <c r="ES26" s="173">
        <f t="shared" si="99"/>
        <v>0</v>
      </c>
      <c r="ET26" s="29" t="s">
        <v>199</v>
      </c>
      <c r="EU26" s="171" t="s">
        <v>199</v>
      </c>
      <c r="EV26" s="157"/>
      <c r="EW26" s="172"/>
      <c r="EX26" s="138"/>
      <c r="EY26" s="173">
        <f t="shared" si="103"/>
        <v>0</v>
      </c>
      <c r="EZ26" s="29" t="s">
        <v>199</v>
      </c>
      <c r="FA26" s="171" t="s">
        <v>199</v>
      </c>
      <c r="FB26" s="157"/>
      <c r="FC26" s="172"/>
      <c r="FD26" s="138"/>
      <c r="FE26" s="173">
        <f t="shared" si="107"/>
        <v>0</v>
      </c>
      <c r="FF26" s="29" t="s">
        <v>199</v>
      </c>
      <c r="FG26" s="171" t="s">
        <v>199</v>
      </c>
      <c r="FH26" s="157"/>
      <c r="FI26" s="172"/>
      <c r="FJ26" s="138"/>
      <c r="FK26" s="173">
        <f t="shared" si="111"/>
        <v>0</v>
      </c>
      <c r="FL26" s="29" t="s">
        <v>199</v>
      </c>
      <c r="FM26" s="171" t="s">
        <v>199</v>
      </c>
      <c r="FN26" s="157"/>
      <c r="FO26" s="172"/>
      <c r="FP26" s="138"/>
      <c r="FQ26" s="173">
        <f t="shared" si="115"/>
        <v>0</v>
      </c>
      <c r="FR26" s="29" t="s">
        <v>199</v>
      </c>
      <c r="FS26" s="171" t="s">
        <v>199</v>
      </c>
      <c r="FT26" s="157"/>
      <c r="FU26" s="172"/>
      <c r="FV26" s="138"/>
      <c r="FW26" s="173">
        <f t="shared" si="119"/>
        <v>0</v>
      </c>
      <c r="FX26" s="29" t="s">
        <v>199</v>
      </c>
      <c r="FY26" s="171" t="s">
        <v>199</v>
      </c>
      <c r="FZ26" s="157"/>
      <c r="GA26" s="172"/>
      <c r="GB26" s="138"/>
      <c r="GC26" s="173">
        <f t="shared" si="123"/>
        <v>0</v>
      </c>
      <c r="GD26" s="29" t="s">
        <v>199</v>
      </c>
      <c r="GE26" s="171" t="s">
        <v>199</v>
      </c>
      <c r="GF26" s="157"/>
      <c r="GG26" s="172"/>
      <c r="GH26" s="138"/>
      <c r="GI26" s="176">
        <f t="shared" si="127"/>
        <v>0</v>
      </c>
      <c r="GJ26" s="159">
        <f t="shared" si="128"/>
        <v>0</v>
      </c>
      <c r="GK26" s="160">
        <f t="shared" si="129"/>
        <v>0</v>
      </c>
      <c r="GL26" s="161"/>
      <c r="GM26" s="160" t="e">
        <f t="shared" si="131"/>
        <v>#VALUE!</v>
      </c>
    </row>
    <row r="27" spans="1:195" s="20" customFormat="1" hidden="1" x14ac:dyDescent="0.25">
      <c r="A27" s="177"/>
      <c r="B27" s="163" t="s">
        <v>199</v>
      </c>
      <c r="C27" s="163" t="s">
        <v>199</v>
      </c>
      <c r="D27" s="163" t="s">
        <v>199</v>
      </c>
      <c r="E27" s="163" t="s">
        <v>199</v>
      </c>
      <c r="F27" s="163" t="s">
        <v>199</v>
      </c>
      <c r="G27" s="164">
        <f>'Исходные данные'!C29</f>
        <v>0</v>
      </c>
      <c r="H27" s="165">
        <f>'Исходные данные'!D29</f>
        <v>0</v>
      </c>
      <c r="I27" s="166">
        <f>'Расчет КРП'!G25</f>
        <v>0</v>
      </c>
      <c r="J27" s="167" t="s">
        <v>199</v>
      </c>
      <c r="K27" s="168"/>
      <c r="L27" s="169">
        <f t="shared" si="7"/>
        <v>0</v>
      </c>
      <c r="M27" s="170"/>
      <c r="N27" s="171" t="s">
        <v>199</v>
      </c>
      <c r="O27" s="172"/>
      <c r="P27" s="138">
        <f t="shared" si="10"/>
        <v>0</v>
      </c>
      <c r="Q27" s="173">
        <f t="shared" si="11"/>
        <v>0</v>
      </c>
      <c r="R27" s="174" t="s">
        <v>199</v>
      </c>
      <c r="S27" s="171" t="s">
        <v>199</v>
      </c>
      <c r="T27" s="175"/>
      <c r="U27" s="172"/>
      <c r="V27" s="133">
        <f t="shared" si="14"/>
        <v>0</v>
      </c>
      <c r="W27" s="173">
        <f t="shared" si="15"/>
        <v>0</v>
      </c>
      <c r="X27" s="29" t="s">
        <v>199</v>
      </c>
      <c r="Y27" s="171" t="s">
        <v>199</v>
      </c>
      <c r="Z27" s="175"/>
      <c r="AA27" s="172"/>
      <c r="AB27" s="133"/>
      <c r="AC27" s="173">
        <f t="shared" si="19"/>
        <v>0</v>
      </c>
      <c r="AD27" s="29" t="s">
        <v>199</v>
      </c>
      <c r="AE27" s="171" t="s">
        <v>199</v>
      </c>
      <c r="AF27" s="175"/>
      <c r="AG27" s="172"/>
      <c r="AH27" s="133"/>
      <c r="AI27" s="173">
        <f t="shared" si="23"/>
        <v>0</v>
      </c>
      <c r="AJ27" s="29" t="s">
        <v>199</v>
      </c>
      <c r="AK27" s="171" t="s">
        <v>199</v>
      </c>
      <c r="AL27" s="175"/>
      <c r="AM27" s="172"/>
      <c r="AN27" s="133"/>
      <c r="AO27" s="173">
        <f t="shared" si="27"/>
        <v>0</v>
      </c>
      <c r="AP27" s="29" t="s">
        <v>199</v>
      </c>
      <c r="AQ27" s="171" t="s">
        <v>199</v>
      </c>
      <c r="AR27" s="175"/>
      <c r="AS27" s="172"/>
      <c r="AT27" s="133"/>
      <c r="AU27" s="173">
        <f t="shared" si="31"/>
        <v>0</v>
      </c>
      <c r="AV27" s="29" t="s">
        <v>199</v>
      </c>
      <c r="AW27" s="171" t="s">
        <v>199</v>
      </c>
      <c r="AX27" s="175"/>
      <c r="AY27" s="172"/>
      <c r="AZ27" s="133"/>
      <c r="BA27" s="173">
        <f t="shared" si="35"/>
        <v>0</v>
      </c>
      <c r="BB27" s="29" t="s">
        <v>199</v>
      </c>
      <c r="BC27" s="171" t="s">
        <v>199</v>
      </c>
      <c r="BD27" s="175"/>
      <c r="BE27" s="172"/>
      <c r="BF27" s="133"/>
      <c r="BG27" s="173">
        <f t="shared" si="39"/>
        <v>0</v>
      </c>
      <c r="BH27" s="29" t="s">
        <v>199</v>
      </c>
      <c r="BI27" s="171" t="s">
        <v>199</v>
      </c>
      <c r="BJ27" s="175"/>
      <c r="BK27" s="172"/>
      <c r="BL27" s="133"/>
      <c r="BM27" s="173">
        <f t="shared" si="43"/>
        <v>0</v>
      </c>
      <c r="BN27" s="29" t="s">
        <v>199</v>
      </c>
      <c r="BO27" s="171" t="s">
        <v>199</v>
      </c>
      <c r="BP27" s="175"/>
      <c r="BQ27" s="172"/>
      <c r="BR27" s="133"/>
      <c r="BS27" s="176">
        <f t="shared" si="47"/>
        <v>0</v>
      </c>
      <c r="BT27" s="29" t="s">
        <v>199</v>
      </c>
      <c r="BU27" s="171" t="s">
        <v>199</v>
      </c>
      <c r="BV27" s="175"/>
      <c r="BW27" s="172"/>
      <c r="BX27" s="133"/>
      <c r="BY27" s="176">
        <f t="shared" si="51"/>
        <v>0</v>
      </c>
      <c r="BZ27" s="29" t="s">
        <v>199</v>
      </c>
      <c r="CA27" s="171" t="s">
        <v>199</v>
      </c>
      <c r="CB27" s="175"/>
      <c r="CC27" s="172"/>
      <c r="CD27" s="133"/>
      <c r="CE27" s="176">
        <f t="shared" si="55"/>
        <v>0</v>
      </c>
      <c r="CF27" s="29" t="s">
        <v>199</v>
      </c>
      <c r="CG27" s="171" t="s">
        <v>199</v>
      </c>
      <c r="CH27" s="175"/>
      <c r="CI27" s="172"/>
      <c r="CJ27" s="133"/>
      <c r="CK27" s="176">
        <f t="shared" si="59"/>
        <v>0</v>
      </c>
      <c r="CL27" s="29" t="s">
        <v>199</v>
      </c>
      <c r="CM27" s="171" t="s">
        <v>199</v>
      </c>
      <c r="CN27" s="175"/>
      <c r="CO27" s="172"/>
      <c r="CP27" s="133"/>
      <c r="CQ27" s="176">
        <f t="shared" si="63"/>
        <v>0</v>
      </c>
      <c r="CR27" s="29" t="s">
        <v>199</v>
      </c>
      <c r="CS27" s="171" t="s">
        <v>199</v>
      </c>
      <c r="CT27" s="175"/>
      <c r="CU27" s="172"/>
      <c r="CV27" s="133"/>
      <c r="CW27" s="176">
        <f t="shared" si="67"/>
        <v>0</v>
      </c>
      <c r="CX27" s="29" t="s">
        <v>199</v>
      </c>
      <c r="CY27" s="171" t="s">
        <v>199</v>
      </c>
      <c r="CZ27" s="175"/>
      <c r="DA27" s="172"/>
      <c r="DB27" s="133"/>
      <c r="DC27" s="176">
        <f t="shared" si="71"/>
        <v>0</v>
      </c>
      <c r="DD27" s="29" t="s">
        <v>199</v>
      </c>
      <c r="DE27" s="171" t="s">
        <v>199</v>
      </c>
      <c r="DF27" s="175"/>
      <c r="DG27" s="172"/>
      <c r="DH27" s="133"/>
      <c r="DI27" s="176">
        <f t="shared" si="75"/>
        <v>0</v>
      </c>
      <c r="DJ27" s="29" t="s">
        <v>199</v>
      </c>
      <c r="DK27" s="171" t="s">
        <v>199</v>
      </c>
      <c r="DL27" s="175"/>
      <c r="DM27" s="172"/>
      <c r="DN27" s="133"/>
      <c r="DO27" s="176">
        <f t="shared" si="79"/>
        <v>0</v>
      </c>
      <c r="DP27" s="29" t="s">
        <v>199</v>
      </c>
      <c r="DQ27" s="171" t="s">
        <v>199</v>
      </c>
      <c r="DR27" s="175"/>
      <c r="DS27" s="172"/>
      <c r="DT27" s="133"/>
      <c r="DU27" s="176">
        <f t="shared" si="83"/>
        <v>0</v>
      </c>
      <c r="DV27" s="29" t="s">
        <v>199</v>
      </c>
      <c r="DW27" s="171" t="s">
        <v>199</v>
      </c>
      <c r="DX27" s="157"/>
      <c r="DY27" s="172"/>
      <c r="DZ27" s="138"/>
      <c r="EA27" s="173">
        <f t="shared" si="87"/>
        <v>0</v>
      </c>
      <c r="EB27" s="29" t="s">
        <v>199</v>
      </c>
      <c r="EC27" s="171" t="s">
        <v>199</v>
      </c>
      <c r="ED27" s="157"/>
      <c r="EE27" s="172"/>
      <c r="EF27" s="138"/>
      <c r="EG27" s="173">
        <f t="shared" si="91"/>
        <v>0</v>
      </c>
      <c r="EH27" s="29" t="s">
        <v>199</v>
      </c>
      <c r="EI27" s="171" t="s">
        <v>199</v>
      </c>
      <c r="EJ27" s="157"/>
      <c r="EK27" s="172"/>
      <c r="EL27" s="138"/>
      <c r="EM27" s="173">
        <f t="shared" si="95"/>
        <v>0</v>
      </c>
      <c r="EN27" s="29" t="s">
        <v>199</v>
      </c>
      <c r="EO27" s="171" t="s">
        <v>199</v>
      </c>
      <c r="EP27" s="157"/>
      <c r="EQ27" s="172"/>
      <c r="ER27" s="138">
        <f t="shared" si="98"/>
        <v>0</v>
      </c>
      <c r="ES27" s="173">
        <f t="shared" si="99"/>
        <v>0</v>
      </c>
      <c r="ET27" s="29" t="s">
        <v>199</v>
      </c>
      <c r="EU27" s="171" t="s">
        <v>199</v>
      </c>
      <c r="EV27" s="157"/>
      <c r="EW27" s="172"/>
      <c r="EX27" s="138"/>
      <c r="EY27" s="173">
        <f t="shared" si="103"/>
        <v>0</v>
      </c>
      <c r="EZ27" s="29" t="s">
        <v>199</v>
      </c>
      <c r="FA27" s="171" t="s">
        <v>199</v>
      </c>
      <c r="FB27" s="157"/>
      <c r="FC27" s="172"/>
      <c r="FD27" s="138"/>
      <c r="FE27" s="173">
        <f t="shared" si="107"/>
        <v>0</v>
      </c>
      <c r="FF27" s="29" t="s">
        <v>199</v>
      </c>
      <c r="FG27" s="171" t="s">
        <v>199</v>
      </c>
      <c r="FH27" s="157"/>
      <c r="FI27" s="172"/>
      <c r="FJ27" s="138"/>
      <c r="FK27" s="173">
        <f t="shared" si="111"/>
        <v>0</v>
      </c>
      <c r="FL27" s="29" t="s">
        <v>199</v>
      </c>
      <c r="FM27" s="171" t="s">
        <v>199</v>
      </c>
      <c r="FN27" s="157"/>
      <c r="FO27" s="172"/>
      <c r="FP27" s="138"/>
      <c r="FQ27" s="173">
        <f t="shared" si="115"/>
        <v>0</v>
      </c>
      <c r="FR27" s="29" t="s">
        <v>199</v>
      </c>
      <c r="FS27" s="171" t="s">
        <v>199</v>
      </c>
      <c r="FT27" s="157"/>
      <c r="FU27" s="172"/>
      <c r="FV27" s="138"/>
      <c r="FW27" s="173">
        <f t="shared" si="119"/>
        <v>0</v>
      </c>
      <c r="FX27" s="29" t="s">
        <v>199</v>
      </c>
      <c r="FY27" s="171" t="s">
        <v>199</v>
      </c>
      <c r="FZ27" s="157"/>
      <c r="GA27" s="172"/>
      <c r="GB27" s="138"/>
      <c r="GC27" s="173">
        <f t="shared" si="123"/>
        <v>0</v>
      </c>
      <c r="GD27" s="29" t="s">
        <v>199</v>
      </c>
      <c r="GE27" s="171" t="s">
        <v>199</v>
      </c>
      <c r="GF27" s="157"/>
      <c r="GG27" s="172"/>
      <c r="GH27" s="138"/>
      <c r="GI27" s="176">
        <f t="shared" si="127"/>
        <v>0</v>
      </c>
      <c r="GJ27" s="159">
        <f t="shared" si="128"/>
        <v>0</v>
      </c>
      <c r="GK27" s="160">
        <f t="shared" si="129"/>
        <v>0</v>
      </c>
      <c r="GL27" s="161"/>
      <c r="GM27" s="160" t="e">
        <f t="shared" si="131"/>
        <v>#VALUE!</v>
      </c>
    </row>
    <row r="28" spans="1:195" s="20" customFormat="1" hidden="1" x14ac:dyDescent="0.25">
      <c r="A28" s="177"/>
      <c r="B28" s="163" t="s">
        <v>199</v>
      </c>
      <c r="C28" s="163" t="s">
        <v>199</v>
      </c>
      <c r="D28" s="163" t="s">
        <v>199</v>
      </c>
      <c r="E28" s="163" t="s">
        <v>199</v>
      </c>
      <c r="F28" s="163" t="s">
        <v>199</v>
      </c>
      <c r="G28" s="164">
        <f>'Исходные данные'!C30</f>
        <v>0</v>
      </c>
      <c r="H28" s="165">
        <f>'Исходные данные'!D30</f>
        <v>0</v>
      </c>
      <c r="I28" s="166">
        <f>'Расчет КРП'!G26</f>
        <v>0</v>
      </c>
      <c r="J28" s="167" t="s">
        <v>199</v>
      </c>
      <c r="K28" s="168"/>
      <c r="L28" s="169">
        <f t="shared" si="7"/>
        <v>0</v>
      </c>
      <c r="M28" s="170"/>
      <c r="N28" s="171" t="s">
        <v>199</v>
      </c>
      <c r="O28" s="172"/>
      <c r="P28" s="138">
        <f t="shared" si="10"/>
        <v>0</v>
      </c>
      <c r="Q28" s="173">
        <f t="shared" si="11"/>
        <v>0</v>
      </c>
      <c r="R28" s="174" t="s">
        <v>199</v>
      </c>
      <c r="S28" s="171" t="s">
        <v>199</v>
      </c>
      <c r="T28" s="175"/>
      <c r="U28" s="172"/>
      <c r="V28" s="133">
        <f t="shared" si="14"/>
        <v>0</v>
      </c>
      <c r="W28" s="173">
        <f t="shared" si="15"/>
        <v>0</v>
      </c>
      <c r="X28" s="29" t="s">
        <v>199</v>
      </c>
      <c r="Y28" s="171" t="s">
        <v>199</v>
      </c>
      <c r="Z28" s="175"/>
      <c r="AA28" s="172"/>
      <c r="AB28" s="133"/>
      <c r="AC28" s="173">
        <f t="shared" si="19"/>
        <v>0</v>
      </c>
      <c r="AD28" s="29" t="s">
        <v>199</v>
      </c>
      <c r="AE28" s="171" t="s">
        <v>199</v>
      </c>
      <c r="AF28" s="175"/>
      <c r="AG28" s="172"/>
      <c r="AH28" s="133"/>
      <c r="AI28" s="173">
        <f t="shared" si="23"/>
        <v>0</v>
      </c>
      <c r="AJ28" s="29" t="s">
        <v>199</v>
      </c>
      <c r="AK28" s="171" t="s">
        <v>199</v>
      </c>
      <c r="AL28" s="175"/>
      <c r="AM28" s="172"/>
      <c r="AN28" s="133"/>
      <c r="AO28" s="173">
        <f t="shared" si="27"/>
        <v>0</v>
      </c>
      <c r="AP28" s="29" t="s">
        <v>199</v>
      </c>
      <c r="AQ28" s="171" t="s">
        <v>199</v>
      </c>
      <c r="AR28" s="175"/>
      <c r="AS28" s="172"/>
      <c r="AT28" s="133"/>
      <c r="AU28" s="173">
        <f t="shared" si="31"/>
        <v>0</v>
      </c>
      <c r="AV28" s="29" t="s">
        <v>199</v>
      </c>
      <c r="AW28" s="171" t="s">
        <v>199</v>
      </c>
      <c r="AX28" s="175"/>
      <c r="AY28" s="172"/>
      <c r="AZ28" s="133"/>
      <c r="BA28" s="173">
        <f t="shared" si="35"/>
        <v>0</v>
      </c>
      <c r="BB28" s="29" t="s">
        <v>199</v>
      </c>
      <c r="BC28" s="171" t="s">
        <v>199</v>
      </c>
      <c r="BD28" s="175"/>
      <c r="BE28" s="172"/>
      <c r="BF28" s="133"/>
      <c r="BG28" s="173">
        <f t="shared" si="39"/>
        <v>0</v>
      </c>
      <c r="BH28" s="29" t="s">
        <v>199</v>
      </c>
      <c r="BI28" s="171" t="s">
        <v>199</v>
      </c>
      <c r="BJ28" s="175"/>
      <c r="BK28" s="172"/>
      <c r="BL28" s="133"/>
      <c r="BM28" s="173">
        <f t="shared" si="43"/>
        <v>0</v>
      </c>
      <c r="BN28" s="29" t="s">
        <v>199</v>
      </c>
      <c r="BO28" s="171" t="s">
        <v>199</v>
      </c>
      <c r="BP28" s="175"/>
      <c r="BQ28" s="172"/>
      <c r="BR28" s="133"/>
      <c r="BS28" s="176">
        <f t="shared" si="47"/>
        <v>0</v>
      </c>
      <c r="BT28" s="29" t="s">
        <v>199</v>
      </c>
      <c r="BU28" s="171" t="s">
        <v>199</v>
      </c>
      <c r="BV28" s="175"/>
      <c r="BW28" s="172"/>
      <c r="BX28" s="133"/>
      <c r="BY28" s="176">
        <f t="shared" si="51"/>
        <v>0</v>
      </c>
      <c r="BZ28" s="29" t="s">
        <v>199</v>
      </c>
      <c r="CA28" s="171" t="s">
        <v>199</v>
      </c>
      <c r="CB28" s="175"/>
      <c r="CC28" s="172"/>
      <c r="CD28" s="133"/>
      <c r="CE28" s="176">
        <f t="shared" si="55"/>
        <v>0</v>
      </c>
      <c r="CF28" s="29" t="s">
        <v>199</v>
      </c>
      <c r="CG28" s="171" t="s">
        <v>199</v>
      </c>
      <c r="CH28" s="175"/>
      <c r="CI28" s="172"/>
      <c r="CJ28" s="133"/>
      <c r="CK28" s="176">
        <f t="shared" si="59"/>
        <v>0</v>
      </c>
      <c r="CL28" s="29" t="s">
        <v>199</v>
      </c>
      <c r="CM28" s="171" t="s">
        <v>199</v>
      </c>
      <c r="CN28" s="175"/>
      <c r="CO28" s="172"/>
      <c r="CP28" s="133"/>
      <c r="CQ28" s="176">
        <f t="shared" si="63"/>
        <v>0</v>
      </c>
      <c r="CR28" s="29" t="s">
        <v>199</v>
      </c>
      <c r="CS28" s="171" t="s">
        <v>199</v>
      </c>
      <c r="CT28" s="175"/>
      <c r="CU28" s="172"/>
      <c r="CV28" s="133"/>
      <c r="CW28" s="176">
        <f t="shared" si="67"/>
        <v>0</v>
      </c>
      <c r="CX28" s="29" t="s">
        <v>199</v>
      </c>
      <c r="CY28" s="171" t="s">
        <v>199</v>
      </c>
      <c r="CZ28" s="175"/>
      <c r="DA28" s="172"/>
      <c r="DB28" s="133"/>
      <c r="DC28" s="176">
        <f t="shared" si="71"/>
        <v>0</v>
      </c>
      <c r="DD28" s="29" t="s">
        <v>199</v>
      </c>
      <c r="DE28" s="171" t="s">
        <v>199</v>
      </c>
      <c r="DF28" s="175"/>
      <c r="DG28" s="172"/>
      <c r="DH28" s="133"/>
      <c r="DI28" s="176">
        <f t="shared" si="75"/>
        <v>0</v>
      </c>
      <c r="DJ28" s="29" t="s">
        <v>199</v>
      </c>
      <c r="DK28" s="171" t="s">
        <v>199</v>
      </c>
      <c r="DL28" s="175"/>
      <c r="DM28" s="172"/>
      <c r="DN28" s="133"/>
      <c r="DO28" s="176">
        <f t="shared" si="79"/>
        <v>0</v>
      </c>
      <c r="DP28" s="29" t="s">
        <v>199</v>
      </c>
      <c r="DQ28" s="171" t="s">
        <v>199</v>
      </c>
      <c r="DR28" s="175"/>
      <c r="DS28" s="172"/>
      <c r="DT28" s="133"/>
      <c r="DU28" s="176">
        <f t="shared" si="83"/>
        <v>0</v>
      </c>
      <c r="DV28" s="29" t="s">
        <v>199</v>
      </c>
      <c r="DW28" s="171" t="s">
        <v>199</v>
      </c>
      <c r="DX28" s="157"/>
      <c r="DY28" s="172"/>
      <c r="DZ28" s="138"/>
      <c r="EA28" s="173">
        <f t="shared" si="87"/>
        <v>0</v>
      </c>
      <c r="EB28" s="29" t="s">
        <v>199</v>
      </c>
      <c r="EC28" s="171" t="s">
        <v>199</v>
      </c>
      <c r="ED28" s="157"/>
      <c r="EE28" s="172"/>
      <c r="EF28" s="138"/>
      <c r="EG28" s="173">
        <f t="shared" si="91"/>
        <v>0</v>
      </c>
      <c r="EH28" s="29" t="s">
        <v>199</v>
      </c>
      <c r="EI28" s="171" t="s">
        <v>199</v>
      </c>
      <c r="EJ28" s="157"/>
      <c r="EK28" s="172"/>
      <c r="EL28" s="138"/>
      <c r="EM28" s="173">
        <f t="shared" si="95"/>
        <v>0</v>
      </c>
      <c r="EN28" s="29" t="s">
        <v>199</v>
      </c>
      <c r="EO28" s="171" t="s">
        <v>199</v>
      </c>
      <c r="EP28" s="157"/>
      <c r="EQ28" s="172"/>
      <c r="ER28" s="138">
        <f t="shared" si="98"/>
        <v>0</v>
      </c>
      <c r="ES28" s="173">
        <f t="shared" si="99"/>
        <v>0</v>
      </c>
      <c r="ET28" s="29" t="s">
        <v>199</v>
      </c>
      <c r="EU28" s="171" t="s">
        <v>199</v>
      </c>
      <c r="EV28" s="157"/>
      <c r="EW28" s="172"/>
      <c r="EX28" s="138"/>
      <c r="EY28" s="173">
        <f t="shared" si="103"/>
        <v>0</v>
      </c>
      <c r="EZ28" s="29" t="s">
        <v>199</v>
      </c>
      <c r="FA28" s="171" t="s">
        <v>199</v>
      </c>
      <c r="FB28" s="157"/>
      <c r="FC28" s="172"/>
      <c r="FD28" s="138"/>
      <c r="FE28" s="173">
        <f t="shared" si="107"/>
        <v>0</v>
      </c>
      <c r="FF28" s="29" t="s">
        <v>199</v>
      </c>
      <c r="FG28" s="171" t="s">
        <v>199</v>
      </c>
      <c r="FH28" s="157"/>
      <c r="FI28" s="172"/>
      <c r="FJ28" s="138"/>
      <c r="FK28" s="173">
        <f t="shared" si="111"/>
        <v>0</v>
      </c>
      <c r="FL28" s="29" t="s">
        <v>199</v>
      </c>
      <c r="FM28" s="171" t="s">
        <v>199</v>
      </c>
      <c r="FN28" s="157"/>
      <c r="FO28" s="172"/>
      <c r="FP28" s="138"/>
      <c r="FQ28" s="173">
        <f t="shared" si="115"/>
        <v>0</v>
      </c>
      <c r="FR28" s="29" t="s">
        <v>199</v>
      </c>
      <c r="FS28" s="171" t="s">
        <v>199</v>
      </c>
      <c r="FT28" s="157"/>
      <c r="FU28" s="172"/>
      <c r="FV28" s="138"/>
      <c r="FW28" s="173">
        <f t="shared" si="119"/>
        <v>0</v>
      </c>
      <c r="FX28" s="29" t="s">
        <v>199</v>
      </c>
      <c r="FY28" s="171" t="s">
        <v>199</v>
      </c>
      <c r="FZ28" s="157"/>
      <c r="GA28" s="172"/>
      <c r="GB28" s="138"/>
      <c r="GC28" s="173">
        <f t="shared" si="123"/>
        <v>0</v>
      </c>
      <c r="GD28" s="29" t="s">
        <v>199</v>
      </c>
      <c r="GE28" s="171" t="s">
        <v>199</v>
      </c>
      <c r="GF28" s="157"/>
      <c r="GG28" s="172"/>
      <c r="GH28" s="138"/>
      <c r="GI28" s="176">
        <f t="shared" si="127"/>
        <v>0</v>
      </c>
      <c r="GJ28" s="159">
        <f t="shared" si="128"/>
        <v>0</v>
      </c>
      <c r="GK28" s="160">
        <f t="shared" si="129"/>
        <v>0</v>
      </c>
      <c r="GL28" s="161"/>
      <c r="GM28" s="160" t="e">
        <f t="shared" si="131"/>
        <v>#VALUE!</v>
      </c>
    </row>
    <row r="29" spans="1:195" s="20" customFormat="1" hidden="1" x14ac:dyDescent="0.25">
      <c r="A29" s="177"/>
      <c r="B29" s="163" t="s">
        <v>199</v>
      </c>
      <c r="C29" s="163" t="s">
        <v>199</v>
      </c>
      <c r="D29" s="163" t="s">
        <v>199</v>
      </c>
      <c r="E29" s="163" t="s">
        <v>199</v>
      </c>
      <c r="F29" s="163" t="s">
        <v>199</v>
      </c>
      <c r="G29" s="164">
        <f>'Исходные данные'!C31</f>
        <v>0</v>
      </c>
      <c r="H29" s="165">
        <f>'Исходные данные'!D31</f>
        <v>0</v>
      </c>
      <c r="I29" s="166">
        <f>'Расчет КРП'!G27</f>
        <v>0</v>
      </c>
      <c r="J29" s="167" t="s">
        <v>199</v>
      </c>
      <c r="K29" s="168"/>
      <c r="L29" s="169">
        <f t="shared" si="7"/>
        <v>0</v>
      </c>
      <c r="M29" s="170"/>
      <c r="N29" s="171" t="s">
        <v>199</v>
      </c>
      <c r="O29" s="172"/>
      <c r="P29" s="138">
        <f t="shared" si="10"/>
        <v>0</v>
      </c>
      <c r="Q29" s="173">
        <f t="shared" si="11"/>
        <v>0</v>
      </c>
      <c r="R29" s="174" t="s">
        <v>199</v>
      </c>
      <c r="S29" s="171" t="s">
        <v>199</v>
      </c>
      <c r="T29" s="175"/>
      <c r="U29" s="172"/>
      <c r="V29" s="133">
        <f t="shared" si="14"/>
        <v>0</v>
      </c>
      <c r="W29" s="173">
        <f t="shared" si="15"/>
        <v>0</v>
      </c>
      <c r="X29" s="29" t="s">
        <v>199</v>
      </c>
      <c r="Y29" s="171" t="s">
        <v>199</v>
      </c>
      <c r="Z29" s="175"/>
      <c r="AA29" s="172"/>
      <c r="AB29" s="133"/>
      <c r="AC29" s="173">
        <f t="shared" si="19"/>
        <v>0</v>
      </c>
      <c r="AD29" s="29" t="s">
        <v>199</v>
      </c>
      <c r="AE29" s="171" t="s">
        <v>199</v>
      </c>
      <c r="AF29" s="175"/>
      <c r="AG29" s="172"/>
      <c r="AH29" s="133"/>
      <c r="AI29" s="173">
        <f t="shared" si="23"/>
        <v>0</v>
      </c>
      <c r="AJ29" s="29" t="s">
        <v>199</v>
      </c>
      <c r="AK29" s="171" t="s">
        <v>199</v>
      </c>
      <c r="AL29" s="175"/>
      <c r="AM29" s="172"/>
      <c r="AN29" s="133"/>
      <c r="AO29" s="173">
        <f t="shared" si="27"/>
        <v>0</v>
      </c>
      <c r="AP29" s="29" t="s">
        <v>199</v>
      </c>
      <c r="AQ29" s="171" t="s">
        <v>199</v>
      </c>
      <c r="AR29" s="175"/>
      <c r="AS29" s="172"/>
      <c r="AT29" s="133"/>
      <c r="AU29" s="173">
        <f t="shared" si="31"/>
        <v>0</v>
      </c>
      <c r="AV29" s="29" t="s">
        <v>199</v>
      </c>
      <c r="AW29" s="171" t="s">
        <v>199</v>
      </c>
      <c r="AX29" s="175"/>
      <c r="AY29" s="172"/>
      <c r="AZ29" s="133"/>
      <c r="BA29" s="173">
        <f t="shared" si="35"/>
        <v>0</v>
      </c>
      <c r="BB29" s="29" t="s">
        <v>199</v>
      </c>
      <c r="BC29" s="171" t="s">
        <v>199</v>
      </c>
      <c r="BD29" s="175"/>
      <c r="BE29" s="172"/>
      <c r="BF29" s="133"/>
      <c r="BG29" s="173">
        <f t="shared" si="39"/>
        <v>0</v>
      </c>
      <c r="BH29" s="29" t="s">
        <v>199</v>
      </c>
      <c r="BI29" s="171" t="s">
        <v>199</v>
      </c>
      <c r="BJ29" s="175"/>
      <c r="BK29" s="172"/>
      <c r="BL29" s="133"/>
      <c r="BM29" s="173">
        <f t="shared" si="43"/>
        <v>0</v>
      </c>
      <c r="BN29" s="29" t="s">
        <v>199</v>
      </c>
      <c r="BO29" s="171" t="s">
        <v>199</v>
      </c>
      <c r="BP29" s="175"/>
      <c r="BQ29" s="172"/>
      <c r="BR29" s="133"/>
      <c r="BS29" s="176">
        <f t="shared" si="47"/>
        <v>0</v>
      </c>
      <c r="BT29" s="29" t="s">
        <v>199</v>
      </c>
      <c r="BU29" s="171" t="s">
        <v>199</v>
      </c>
      <c r="BV29" s="175"/>
      <c r="BW29" s="172"/>
      <c r="BX29" s="133"/>
      <c r="BY29" s="176">
        <f t="shared" si="51"/>
        <v>0</v>
      </c>
      <c r="BZ29" s="29" t="s">
        <v>199</v>
      </c>
      <c r="CA29" s="171" t="s">
        <v>199</v>
      </c>
      <c r="CB29" s="175"/>
      <c r="CC29" s="172"/>
      <c r="CD29" s="133"/>
      <c r="CE29" s="176">
        <f t="shared" si="55"/>
        <v>0</v>
      </c>
      <c r="CF29" s="29" t="s">
        <v>199</v>
      </c>
      <c r="CG29" s="171" t="s">
        <v>199</v>
      </c>
      <c r="CH29" s="175"/>
      <c r="CI29" s="172"/>
      <c r="CJ29" s="133"/>
      <c r="CK29" s="176">
        <f t="shared" si="59"/>
        <v>0</v>
      </c>
      <c r="CL29" s="29" t="s">
        <v>199</v>
      </c>
      <c r="CM29" s="171" t="s">
        <v>199</v>
      </c>
      <c r="CN29" s="175"/>
      <c r="CO29" s="172"/>
      <c r="CP29" s="133"/>
      <c r="CQ29" s="176">
        <f t="shared" si="63"/>
        <v>0</v>
      </c>
      <c r="CR29" s="29" t="s">
        <v>199</v>
      </c>
      <c r="CS29" s="171" t="s">
        <v>199</v>
      </c>
      <c r="CT29" s="175"/>
      <c r="CU29" s="172"/>
      <c r="CV29" s="133"/>
      <c r="CW29" s="176">
        <f t="shared" si="67"/>
        <v>0</v>
      </c>
      <c r="CX29" s="29" t="s">
        <v>199</v>
      </c>
      <c r="CY29" s="171" t="s">
        <v>199</v>
      </c>
      <c r="CZ29" s="175"/>
      <c r="DA29" s="172"/>
      <c r="DB29" s="133"/>
      <c r="DC29" s="176">
        <f t="shared" si="71"/>
        <v>0</v>
      </c>
      <c r="DD29" s="29" t="s">
        <v>199</v>
      </c>
      <c r="DE29" s="171" t="s">
        <v>199</v>
      </c>
      <c r="DF29" s="175"/>
      <c r="DG29" s="172"/>
      <c r="DH29" s="133"/>
      <c r="DI29" s="176">
        <f t="shared" si="75"/>
        <v>0</v>
      </c>
      <c r="DJ29" s="29" t="s">
        <v>199</v>
      </c>
      <c r="DK29" s="171" t="s">
        <v>199</v>
      </c>
      <c r="DL29" s="175"/>
      <c r="DM29" s="172"/>
      <c r="DN29" s="133"/>
      <c r="DO29" s="176">
        <f t="shared" si="79"/>
        <v>0</v>
      </c>
      <c r="DP29" s="29" t="s">
        <v>199</v>
      </c>
      <c r="DQ29" s="171" t="s">
        <v>199</v>
      </c>
      <c r="DR29" s="175"/>
      <c r="DS29" s="172"/>
      <c r="DT29" s="133"/>
      <c r="DU29" s="176">
        <f t="shared" si="83"/>
        <v>0</v>
      </c>
      <c r="DV29" s="29" t="s">
        <v>199</v>
      </c>
      <c r="DW29" s="171" t="s">
        <v>199</v>
      </c>
      <c r="DX29" s="157"/>
      <c r="DY29" s="172"/>
      <c r="DZ29" s="138"/>
      <c r="EA29" s="173">
        <f t="shared" si="87"/>
        <v>0</v>
      </c>
      <c r="EB29" s="29" t="s">
        <v>199</v>
      </c>
      <c r="EC29" s="171" t="s">
        <v>199</v>
      </c>
      <c r="ED29" s="157"/>
      <c r="EE29" s="172"/>
      <c r="EF29" s="138"/>
      <c r="EG29" s="173">
        <f t="shared" si="91"/>
        <v>0</v>
      </c>
      <c r="EH29" s="29" t="s">
        <v>199</v>
      </c>
      <c r="EI29" s="171" t="s">
        <v>199</v>
      </c>
      <c r="EJ29" s="157"/>
      <c r="EK29" s="172"/>
      <c r="EL29" s="138"/>
      <c r="EM29" s="173">
        <f t="shared" si="95"/>
        <v>0</v>
      </c>
      <c r="EN29" s="29" t="s">
        <v>199</v>
      </c>
      <c r="EO29" s="171" t="s">
        <v>199</v>
      </c>
      <c r="EP29" s="157"/>
      <c r="EQ29" s="172"/>
      <c r="ER29" s="138">
        <f t="shared" si="98"/>
        <v>0</v>
      </c>
      <c r="ES29" s="173">
        <f t="shared" si="99"/>
        <v>0</v>
      </c>
      <c r="ET29" s="29" t="s">
        <v>199</v>
      </c>
      <c r="EU29" s="171" t="s">
        <v>199</v>
      </c>
      <c r="EV29" s="157"/>
      <c r="EW29" s="172"/>
      <c r="EX29" s="138"/>
      <c r="EY29" s="173">
        <f t="shared" si="103"/>
        <v>0</v>
      </c>
      <c r="EZ29" s="29" t="s">
        <v>199</v>
      </c>
      <c r="FA29" s="171" t="s">
        <v>199</v>
      </c>
      <c r="FB29" s="157"/>
      <c r="FC29" s="172"/>
      <c r="FD29" s="138"/>
      <c r="FE29" s="173">
        <f t="shared" si="107"/>
        <v>0</v>
      </c>
      <c r="FF29" s="29" t="s">
        <v>199</v>
      </c>
      <c r="FG29" s="171" t="s">
        <v>199</v>
      </c>
      <c r="FH29" s="157"/>
      <c r="FI29" s="172"/>
      <c r="FJ29" s="138"/>
      <c r="FK29" s="173">
        <f t="shared" si="111"/>
        <v>0</v>
      </c>
      <c r="FL29" s="29" t="s">
        <v>199</v>
      </c>
      <c r="FM29" s="171" t="s">
        <v>199</v>
      </c>
      <c r="FN29" s="157"/>
      <c r="FO29" s="172"/>
      <c r="FP29" s="138"/>
      <c r="FQ29" s="173">
        <f t="shared" si="115"/>
        <v>0</v>
      </c>
      <c r="FR29" s="29" t="s">
        <v>199</v>
      </c>
      <c r="FS29" s="171" t="s">
        <v>199</v>
      </c>
      <c r="FT29" s="157"/>
      <c r="FU29" s="172"/>
      <c r="FV29" s="138"/>
      <c r="FW29" s="173">
        <f t="shared" si="119"/>
        <v>0</v>
      </c>
      <c r="FX29" s="29" t="s">
        <v>199</v>
      </c>
      <c r="FY29" s="171" t="s">
        <v>199</v>
      </c>
      <c r="FZ29" s="157"/>
      <c r="GA29" s="172"/>
      <c r="GB29" s="138"/>
      <c r="GC29" s="173">
        <f t="shared" si="123"/>
        <v>0</v>
      </c>
      <c r="GD29" s="29" t="s">
        <v>199</v>
      </c>
      <c r="GE29" s="171" t="s">
        <v>199</v>
      </c>
      <c r="GF29" s="157"/>
      <c r="GG29" s="172"/>
      <c r="GH29" s="138"/>
      <c r="GI29" s="176">
        <f t="shared" si="127"/>
        <v>0</v>
      </c>
      <c r="GJ29" s="159">
        <f t="shared" si="128"/>
        <v>0</v>
      </c>
      <c r="GK29" s="160">
        <f t="shared" si="129"/>
        <v>0</v>
      </c>
      <c r="GL29" s="161"/>
      <c r="GM29" s="160" t="e">
        <f t="shared" si="131"/>
        <v>#VALUE!</v>
      </c>
    </row>
    <row r="30" spans="1:195" s="20" customFormat="1" hidden="1" x14ac:dyDescent="0.25">
      <c r="A30" s="177"/>
      <c r="B30" s="163" t="s">
        <v>199</v>
      </c>
      <c r="C30" s="163" t="s">
        <v>199</v>
      </c>
      <c r="D30" s="163" t="s">
        <v>199</v>
      </c>
      <c r="E30" s="163" t="s">
        <v>199</v>
      </c>
      <c r="F30" s="163" t="s">
        <v>199</v>
      </c>
      <c r="G30" s="164">
        <f>'Исходные данные'!C32</f>
        <v>0</v>
      </c>
      <c r="H30" s="165">
        <f>'Исходные данные'!D32</f>
        <v>0</v>
      </c>
      <c r="I30" s="166">
        <f>'Расчет КРП'!G28</f>
        <v>0</v>
      </c>
      <c r="J30" s="167" t="s">
        <v>199</v>
      </c>
      <c r="K30" s="168"/>
      <c r="L30" s="169">
        <f t="shared" si="7"/>
        <v>0</v>
      </c>
      <c r="M30" s="170"/>
      <c r="N30" s="171" t="s">
        <v>199</v>
      </c>
      <c r="O30" s="172"/>
      <c r="P30" s="138">
        <f t="shared" si="10"/>
        <v>0</v>
      </c>
      <c r="Q30" s="173">
        <f t="shared" si="11"/>
        <v>0</v>
      </c>
      <c r="R30" s="174" t="s">
        <v>199</v>
      </c>
      <c r="S30" s="171" t="s">
        <v>199</v>
      </c>
      <c r="T30" s="175"/>
      <c r="U30" s="172"/>
      <c r="V30" s="133">
        <f t="shared" si="14"/>
        <v>0</v>
      </c>
      <c r="W30" s="173">
        <f t="shared" si="15"/>
        <v>0</v>
      </c>
      <c r="X30" s="29" t="s">
        <v>199</v>
      </c>
      <c r="Y30" s="171" t="s">
        <v>199</v>
      </c>
      <c r="Z30" s="175"/>
      <c r="AA30" s="172"/>
      <c r="AB30" s="133"/>
      <c r="AC30" s="173">
        <f t="shared" si="19"/>
        <v>0</v>
      </c>
      <c r="AD30" s="29" t="s">
        <v>199</v>
      </c>
      <c r="AE30" s="171" t="s">
        <v>199</v>
      </c>
      <c r="AF30" s="175"/>
      <c r="AG30" s="172"/>
      <c r="AH30" s="133"/>
      <c r="AI30" s="173">
        <f t="shared" si="23"/>
        <v>0</v>
      </c>
      <c r="AJ30" s="29" t="s">
        <v>199</v>
      </c>
      <c r="AK30" s="171" t="s">
        <v>199</v>
      </c>
      <c r="AL30" s="175"/>
      <c r="AM30" s="172"/>
      <c r="AN30" s="133"/>
      <c r="AO30" s="173">
        <f t="shared" si="27"/>
        <v>0</v>
      </c>
      <c r="AP30" s="29" t="s">
        <v>199</v>
      </c>
      <c r="AQ30" s="171" t="s">
        <v>199</v>
      </c>
      <c r="AR30" s="175"/>
      <c r="AS30" s="172"/>
      <c r="AT30" s="133"/>
      <c r="AU30" s="173">
        <f t="shared" si="31"/>
        <v>0</v>
      </c>
      <c r="AV30" s="29" t="s">
        <v>199</v>
      </c>
      <c r="AW30" s="171" t="s">
        <v>199</v>
      </c>
      <c r="AX30" s="175"/>
      <c r="AY30" s="172"/>
      <c r="AZ30" s="133"/>
      <c r="BA30" s="173">
        <f t="shared" si="35"/>
        <v>0</v>
      </c>
      <c r="BB30" s="29" t="s">
        <v>199</v>
      </c>
      <c r="BC30" s="171" t="s">
        <v>199</v>
      </c>
      <c r="BD30" s="175"/>
      <c r="BE30" s="172"/>
      <c r="BF30" s="133"/>
      <c r="BG30" s="173">
        <f t="shared" si="39"/>
        <v>0</v>
      </c>
      <c r="BH30" s="29" t="s">
        <v>199</v>
      </c>
      <c r="BI30" s="171" t="s">
        <v>199</v>
      </c>
      <c r="BJ30" s="175"/>
      <c r="BK30" s="172"/>
      <c r="BL30" s="133"/>
      <c r="BM30" s="173">
        <f t="shared" si="43"/>
        <v>0</v>
      </c>
      <c r="BN30" s="29" t="s">
        <v>199</v>
      </c>
      <c r="BO30" s="171" t="s">
        <v>199</v>
      </c>
      <c r="BP30" s="175"/>
      <c r="BQ30" s="172"/>
      <c r="BR30" s="133"/>
      <c r="BS30" s="176">
        <f t="shared" si="47"/>
        <v>0</v>
      </c>
      <c r="BT30" s="29" t="s">
        <v>199</v>
      </c>
      <c r="BU30" s="171" t="s">
        <v>199</v>
      </c>
      <c r="BV30" s="175"/>
      <c r="BW30" s="172"/>
      <c r="BX30" s="133"/>
      <c r="BY30" s="176">
        <f t="shared" si="51"/>
        <v>0</v>
      </c>
      <c r="BZ30" s="29" t="s">
        <v>199</v>
      </c>
      <c r="CA30" s="171" t="s">
        <v>199</v>
      </c>
      <c r="CB30" s="175"/>
      <c r="CC30" s="172"/>
      <c r="CD30" s="133"/>
      <c r="CE30" s="176">
        <f t="shared" si="55"/>
        <v>0</v>
      </c>
      <c r="CF30" s="29" t="s">
        <v>199</v>
      </c>
      <c r="CG30" s="171" t="s">
        <v>199</v>
      </c>
      <c r="CH30" s="175"/>
      <c r="CI30" s="172"/>
      <c r="CJ30" s="133"/>
      <c r="CK30" s="176">
        <f t="shared" si="59"/>
        <v>0</v>
      </c>
      <c r="CL30" s="29" t="s">
        <v>199</v>
      </c>
      <c r="CM30" s="171" t="s">
        <v>199</v>
      </c>
      <c r="CN30" s="175"/>
      <c r="CO30" s="172"/>
      <c r="CP30" s="133"/>
      <c r="CQ30" s="176">
        <f t="shared" si="63"/>
        <v>0</v>
      </c>
      <c r="CR30" s="29" t="s">
        <v>199</v>
      </c>
      <c r="CS30" s="171" t="s">
        <v>199</v>
      </c>
      <c r="CT30" s="175"/>
      <c r="CU30" s="172"/>
      <c r="CV30" s="133"/>
      <c r="CW30" s="176">
        <f t="shared" si="67"/>
        <v>0</v>
      </c>
      <c r="CX30" s="29" t="s">
        <v>199</v>
      </c>
      <c r="CY30" s="171" t="s">
        <v>199</v>
      </c>
      <c r="CZ30" s="175"/>
      <c r="DA30" s="172"/>
      <c r="DB30" s="133"/>
      <c r="DC30" s="176">
        <f t="shared" si="71"/>
        <v>0</v>
      </c>
      <c r="DD30" s="29" t="s">
        <v>199</v>
      </c>
      <c r="DE30" s="171" t="s">
        <v>199</v>
      </c>
      <c r="DF30" s="175"/>
      <c r="DG30" s="172"/>
      <c r="DH30" s="133"/>
      <c r="DI30" s="176">
        <f t="shared" si="75"/>
        <v>0</v>
      </c>
      <c r="DJ30" s="29" t="s">
        <v>199</v>
      </c>
      <c r="DK30" s="171" t="s">
        <v>199</v>
      </c>
      <c r="DL30" s="175"/>
      <c r="DM30" s="172"/>
      <c r="DN30" s="133"/>
      <c r="DO30" s="176">
        <f t="shared" si="79"/>
        <v>0</v>
      </c>
      <c r="DP30" s="29" t="s">
        <v>199</v>
      </c>
      <c r="DQ30" s="171" t="s">
        <v>199</v>
      </c>
      <c r="DR30" s="175"/>
      <c r="DS30" s="172"/>
      <c r="DT30" s="133"/>
      <c r="DU30" s="176">
        <f t="shared" si="83"/>
        <v>0</v>
      </c>
      <c r="DV30" s="29" t="s">
        <v>199</v>
      </c>
      <c r="DW30" s="171" t="s">
        <v>199</v>
      </c>
      <c r="DX30" s="157"/>
      <c r="DY30" s="172"/>
      <c r="DZ30" s="138"/>
      <c r="EA30" s="173">
        <f t="shared" si="87"/>
        <v>0</v>
      </c>
      <c r="EB30" s="29" t="s">
        <v>199</v>
      </c>
      <c r="EC30" s="171" t="s">
        <v>199</v>
      </c>
      <c r="ED30" s="157"/>
      <c r="EE30" s="172"/>
      <c r="EF30" s="138"/>
      <c r="EG30" s="173">
        <f t="shared" si="91"/>
        <v>0</v>
      </c>
      <c r="EH30" s="29" t="s">
        <v>199</v>
      </c>
      <c r="EI30" s="171" t="s">
        <v>199</v>
      </c>
      <c r="EJ30" s="157"/>
      <c r="EK30" s="172"/>
      <c r="EL30" s="138"/>
      <c r="EM30" s="173">
        <f t="shared" si="95"/>
        <v>0</v>
      </c>
      <c r="EN30" s="29" t="s">
        <v>199</v>
      </c>
      <c r="EO30" s="171" t="s">
        <v>199</v>
      </c>
      <c r="EP30" s="157"/>
      <c r="EQ30" s="172"/>
      <c r="ER30" s="138">
        <f t="shared" si="98"/>
        <v>0</v>
      </c>
      <c r="ES30" s="173">
        <f t="shared" si="99"/>
        <v>0</v>
      </c>
      <c r="ET30" s="29" t="s">
        <v>199</v>
      </c>
      <c r="EU30" s="171" t="s">
        <v>199</v>
      </c>
      <c r="EV30" s="157"/>
      <c r="EW30" s="172"/>
      <c r="EX30" s="138"/>
      <c r="EY30" s="173">
        <f t="shared" si="103"/>
        <v>0</v>
      </c>
      <c r="EZ30" s="29" t="s">
        <v>199</v>
      </c>
      <c r="FA30" s="171" t="s">
        <v>199</v>
      </c>
      <c r="FB30" s="157"/>
      <c r="FC30" s="172"/>
      <c r="FD30" s="138"/>
      <c r="FE30" s="173">
        <f t="shared" si="107"/>
        <v>0</v>
      </c>
      <c r="FF30" s="29" t="s">
        <v>199</v>
      </c>
      <c r="FG30" s="171" t="s">
        <v>199</v>
      </c>
      <c r="FH30" s="157"/>
      <c r="FI30" s="172"/>
      <c r="FJ30" s="138"/>
      <c r="FK30" s="173">
        <f t="shared" si="111"/>
        <v>0</v>
      </c>
      <c r="FL30" s="29" t="s">
        <v>199</v>
      </c>
      <c r="FM30" s="171" t="s">
        <v>199</v>
      </c>
      <c r="FN30" s="157"/>
      <c r="FO30" s="172"/>
      <c r="FP30" s="138"/>
      <c r="FQ30" s="173">
        <f t="shared" si="115"/>
        <v>0</v>
      </c>
      <c r="FR30" s="29" t="s">
        <v>199</v>
      </c>
      <c r="FS30" s="171" t="s">
        <v>199</v>
      </c>
      <c r="FT30" s="157"/>
      <c r="FU30" s="172"/>
      <c r="FV30" s="138"/>
      <c r="FW30" s="173">
        <f t="shared" si="119"/>
        <v>0</v>
      </c>
      <c r="FX30" s="29" t="s">
        <v>199</v>
      </c>
      <c r="FY30" s="171" t="s">
        <v>199</v>
      </c>
      <c r="FZ30" s="157"/>
      <c r="GA30" s="172"/>
      <c r="GB30" s="138"/>
      <c r="GC30" s="173">
        <f t="shared" si="123"/>
        <v>0</v>
      </c>
      <c r="GD30" s="29" t="s">
        <v>199</v>
      </c>
      <c r="GE30" s="171" t="s">
        <v>199</v>
      </c>
      <c r="GF30" s="157"/>
      <c r="GG30" s="172"/>
      <c r="GH30" s="138"/>
      <c r="GI30" s="176">
        <f t="shared" si="127"/>
        <v>0</v>
      </c>
      <c r="GJ30" s="159">
        <f t="shared" si="128"/>
        <v>0</v>
      </c>
      <c r="GK30" s="160">
        <f t="shared" si="129"/>
        <v>0</v>
      </c>
      <c r="GL30" s="161"/>
      <c r="GM30" s="160" t="e">
        <f t="shared" si="131"/>
        <v>#VALUE!</v>
      </c>
    </row>
    <row r="31" spans="1:195" s="20" customFormat="1" hidden="1" x14ac:dyDescent="0.25">
      <c r="A31" s="177"/>
      <c r="B31" s="163" t="s">
        <v>199</v>
      </c>
      <c r="C31" s="163" t="s">
        <v>199</v>
      </c>
      <c r="D31" s="163" t="s">
        <v>199</v>
      </c>
      <c r="E31" s="163" t="s">
        <v>199</v>
      </c>
      <c r="F31" s="163" t="s">
        <v>199</v>
      </c>
      <c r="G31" s="164">
        <f>'Исходные данные'!C33</f>
        <v>0</v>
      </c>
      <c r="H31" s="165">
        <f>'Исходные данные'!D33</f>
        <v>0</v>
      </c>
      <c r="I31" s="166">
        <f>'Расчет КРП'!G29</f>
        <v>0</v>
      </c>
      <c r="J31" s="167" t="s">
        <v>199</v>
      </c>
      <c r="K31" s="168"/>
      <c r="L31" s="169">
        <f t="shared" si="7"/>
        <v>0</v>
      </c>
      <c r="M31" s="170"/>
      <c r="N31" s="171" t="s">
        <v>199</v>
      </c>
      <c r="O31" s="172"/>
      <c r="P31" s="138">
        <f t="shared" si="10"/>
        <v>0</v>
      </c>
      <c r="Q31" s="173">
        <f t="shared" si="11"/>
        <v>0</v>
      </c>
      <c r="R31" s="174" t="s">
        <v>199</v>
      </c>
      <c r="S31" s="171" t="s">
        <v>199</v>
      </c>
      <c r="T31" s="175"/>
      <c r="U31" s="172"/>
      <c r="V31" s="133">
        <f t="shared" si="14"/>
        <v>0</v>
      </c>
      <c r="W31" s="173">
        <f t="shared" si="15"/>
        <v>0</v>
      </c>
      <c r="X31" s="29" t="s">
        <v>199</v>
      </c>
      <c r="Y31" s="171" t="s">
        <v>199</v>
      </c>
      <c r="Z31" s="175"/>
      <c r="AA31" s="172"/>
      <c r="AB31" s="133"/>
      <c r="AC31" s="173">
        <f t="shared" si="19"/>
        <v>0</v>
      </c>
      <c r="AD31" s="29" t="s">
        <v>199</v>
      </c>
      <c r="AE31" s="171" t="s">
        <v>199</v>
      </c>
      <c r="AF31" s="175"/>
      <c r="AG31" s="172"/>
      <c r="AH31" s="133"/>
      <c r="AI31" s="173">
        <f t="shared" si="23"/>
        <v>0</v>
      </c>
      <c r="AJ31" s="29" t="s">
        <v>199</v>
      </c>
      <c r="AK31" s="171" t="s">
        <v>199</v>
      </c>
      <c r="AL31" s="175"/>
      <c r="AM31" s="172"/>
      <c r="AN31" s="133"/>
      <c r="AO31" s="173">
        <f t="shared" si="27"/>
        <v>0</v>
      </c>
      <c r="AP31" s="29" t="s">
        <v>199</v>
      </c>
      <c r="AQ31" s="171" t="s">
        <v>199</v>
      </c>
      <c r="AR31" s="175"/>
      <c r="AS31" s="172"/>
      <c r="AT31" s="133"/>
      <c r="AU31" s="173">
        <f t="shared" si="31"/>
        <v>0</v>
      </c>
      <c r="AV31" s="29" t="s">
        <v>199</v>
      </c>
      <c r="AW31" s="171" t="s">
        <v>199</v>
      </c>
      <c r="AX31" s="175"/>
      <c r="AY31" s="172"/>
      <c r="AZ31" s="133"/>
      <c r="BA31" s="173">
        <f t="shared" si="35"/>
        <v>0</v>
      </c>
      <c r="BB31" s="29" t="s">
        <v>199</v>
      </c>
      <c r="BC31" s="171" t="s">
        <v>199</v>
      </c>
      <c r="BD31" s="175"/>
      <c r="BE31" s="172"/>
      <c r="BF31" s="133"/>
      <c r="BG31" s="173">
        <f t="shared" si="39"/>
        <v>0</v>
      </c>
      <c r="BH31" s="29" t="s">
        <v>199</v>
      </c>
      <c r="BI31" s="171" t="s">
        <v>199</v>
      </c>
      <c r="BJ31" s="175"/>
      <c r="BK31" s="172"/>
      <c r="BL31" s="133"/>
      <c r="BM31" s="173">
        <f t="shared" si="43"/>
        <v>0</v>
      </c>
      <c r="BN31" s="29" t="s">
        <v>199</v>
      </c>
      <c r="BO31" s="171" t="s">
        <v>199</v>
      </c>
      <c r="BP31" s="175"/>
      <c r="BQ31" s="172"/>
      <c r="BR31" s="133"/>
      <c r="BS31" s="176">
        <f t="shared" si="47"/>
        <v>0</v>
      </c>
      <c r="BT31" s="29" t="s">
        <v>199</v>
      </c>
      <c r="BU31" s="171" t="s">
        <v>199</v>
      </c>
      <c r="BV31" s="175"/>
      <c r="BW31" s="172"/>
      <c r="BX31" s="133"/>
      <c r="BY31" s="176">
        <f t="shared" si="51"/>
        <v>0</v>
      </c>
      <c r="BZ31" s="29" t="s">
        <v>199</v>
      </c>
      <c r="CA31" s="171" t="s">
        <v>199</v>
      </c>
      <c r="CB31" s="175"/>
      <c r="CC31" s="172"/>
      <c r="CD31" s="133"/>
      <c r="CE31" s="176">
        <f t="shared" si="55"/>
        <v>0</v>
      </c>
      <c r="CF31" s="29" t="s">
        <v>199</v>
      </c>
      <c r="CG31" s="171" t="s">
        <v>199</v>
      </c>
      <c r="CH31" s="175"/>
      <c r="CI31" s="172"/>
      <c r="CJ31" s="133"/>
      <c r="CK31" s="176">
        <f t="shared" si="59"/>
        <v>0</v>
      </c>
      <c r="CL31" s="29" t="s">
        <v>199</v>
      </c>
      <c r="CM31" s="171" t="s">
        <v>199</v>
      </c>
      <c r="CN31" s="175"/>
      <c r="CO31" s="172"/>
      <c r="CP31" s="133"/>
      <c r="CQ31" s="176">
        <f t="shared" si="63"/>
        <v>0</v>
      </c>
      <c r="CR31" s="29" t="s">
        <v>199</v>
      </c>
      <c r="CS31" s="171" t="s">
        <v>199</v>
      </c>
      <c r="CT31" s="175"/>
      <c r="CU31" s="172"/>
      <c r="CV31" s="133"/>
      <c r="CW31" s="176">
        <f t="shared" si="67"/>
        <v>0</v>
      </c>
      <c r="CX31" s="29" t="s">
        <v>199</v>
      </c>
      <c r="CY31" s="171" t="s">
        <v>199</v>
      </c>
      <c r="CZ31" s="175"/>
      <c r="DA31" s="172"/>
      <c r="DB31" s="133"/>
      <c r="DC31" s="176">
        <f t="shared" si="71"/>
        <v>0</v>
      </c>
      <c r="DD31" s="29" t="s">
        <v>199</v>
      </c>
      <c r="DE31" s="171" t="s">
        <v>199</v>
      </c>
      <c r="DF31" s="175"/>
      <c r="DG31" s="172"/>
      <c r="DH31" s="133"/>
      <c r="DI31" s="176">
        <f t="shared" si="75"/>
        <v>0</v>
      </c>
      <c r="DJ31" s="29" t="s">
        <v>199</v>
      </c>
      <c r="DK31" s="171" t="s">
        <v>199</v>
      </c>
      <c r="DL31" s="175"/>
      <c r="DM31" s="172"/>
      <c r="DN31" s="133"/>
      <c r="DO31" s="176">
        <f t="shared" si="79"/>
        <v>0</v>
      </c>
      <c r="DP31" s="29" t="s">
        <v>199</v>
      </c>
      <c r="DQ31" s="171" t="s">
        <v>199</v>
      </c>
      <c r="DR31" s="175"/>
      <c r="DS31" s="172"/>
      <c r="DT31" s="133"/>
      <c r="DU31" s="176">
        <f t="shared" si="83"/>
        <v>0</v>
      </c>
      <c r="DV31" s="29" t="s">
        <v>199</v>
      </c>
      <c r="DW31" s="171" t="s">
        <v>199</v>
      </c>
      <c r="DX31" s="157"/>
      <c r="DY31" s="172"/>
      <c r="DZ31" s="138"/>
      <c r="EA31" s="173">
        <f t="shared" si="87"/>
        <v>0</v>
      </c>
      <c r="EB31" s="29" t="s">
        <v>199</v>
      </c>
      <c r="EC31" s="171" t="s">
        <v>199</v>
      </c>
      <c r="ED31" s="157"/>
      <c r="EE31" s="172"/>
      <c r="EF31" s="138"/>
      <c r="EG31" s="173">
        <f t="shared" si="91"/>
        <v>0</v>
      </c>
      <c r="EH31" s="29" t="s">
        <v>199</v>
      </c>
      <c r="EI31" s="171" t="s">
        <v>199</v>
      </c>
      <c r="EJ31" s="157"/>
      <c r="EK31" s="172"/>
      <c r="EL31" s="138"/>
      <c r="EM31" s="173">
        <f t="shared" si="95"/>
        <v>0</v>
      </c>
      <c r="EN31" s="29" t="s">
        <v>199</v>
      </c>
      <c r="EO31" s="171" t="s">
        <v>199</v>
      </c>
      <c r="EP31" s="157"/>
      <c r="EQ31" s="172"/>
      <c r="ER31" s="138">
        <f t="shared" si="98"/>
        <v>0</v>
      </c>
      <c r="ES31" s="173">
        <f t="shared" si="99"/>
        <v>0</v>
      </c>
      <c r="ET31" s="29" t="s">
        <v>199</v>
      </c>
      <c r="EU31" s="171" t="s">
        <v>199</v>
      </c>
      <c r="EV31" s="157"/>
      <c r="EW31" s="172"/>
      <c r="EX31" s="138"/>
      <c r="EY31" s="173">
        <f t="shared" si="103"/>
        <v>0</v>
      </c>
      <c r="EZ31" s="29" t="s">
        <v>199</v>
      </c>
      <c r="FA31" s="171" t="s">
        <v>199</v>
      </c>
      <c r="FB31" s="157"/>
      <c r="FC31" s="172"/>
      <c r="FD31" s="138"/>
      <c r="FE31" s="173">
        <f t="shared" si="107"/>
        <v>0</v>
      </c>
      <c r="FF31" s="29" t="s">
        <v>199</v>
      </c>
      <c r="FG31" s="171" t="s">
        <v>199</v>
      </c>
      <c r="FH31" s="157"/>
      <c r="FI31" s="172"/>
      <c r="FJ31" s="138"/>
      <c r="FK31" s="173">
        <f t="shared" si="111"/>
        <v>0</v>
      </c>
      <c r="FL31" s="29" t="s">
        <v>199</v>
      </c>
      <c r="FM31" s="171" t="s">
        <v>199</v>
      </c>
      <c r="FN31" s="157"/>
      <c r="FO31" s="172"/>
      <c r="FP31" s="138"/>
      <c r="FQ31" s="173">
        <f t="shared" si="115"/>
        <v>0</v>
      </c>
      <c r="FR31" s="29" t="s">
        <v>199</v>
      </c>
      <c r="FS31" s="171" t="s">
        <v>199</v>
      </c>
      <c r="FT31" s="157"/>
      <c r="FU31" s="172"/>
      <c r="FV31" s="138"/>
      <c r="FW31" s="173">
        <f t="shared" si="119"/>
        <v>0</v>
      </c>
      <c r="FX31" s="29" t="s">
        <v>199</v>
      </c>
      <c r="FY31" s="171" t="s">
        <v>199</v>
      </c>
      <c r="FZ31" s="157"/>
      <c r="GA31" s="172"/>
      <c r="GB31" s="138"/>
      <c r="GC31" s="173">
        <f t="shared" si="123"/>
        <v>0</v>
      </c>
      <c r="GD31" s="29" t="s">
        <v>199</v>
      </c>
      <c r="GE31" s="171" t="s">
        <v>199</v>
      </c>
      <c r="GF31" s="157"/>
      <c r="GG31" s="172"/>
      <c r="GH31" s="138"/>
      <c r="GI31" s="176">
        <f t="shared" si="127"/>
        <v>0</v>
      </c>
      <c r="GJ31" s="159">
        <f t="shared" si="128"/>
        <v>0</v>
      </c>
      <c r="GK31" s="160">
        <f t="shared" si="129"/>
        <v>0</v>
      </c>
      <c r="GL31" s="161"/>
      <c r="GM31" s="160" t="e">
        <f t="shared" si="131"/>
        <v>#VALUE!</v>
      </c>
    </row>
    <row r="32" spans="1:195" s="20" customFormat="1" hidden="1" x14ac:dyDescent="0.25">
      <c r="A32" s="178"/>
      <c r="B32" s="163" t="s">
        <v>199</v>
      </c>
      <c r="C32" s="163" t="s">
        <v>199</v>
      </c>
      <c r="D32" s="163" t="s">
        <v>199</v>
      </c>
      <c r="E32" s="163" t="s">
        <v>199</v>
      </c>
      <c r="F32" s="163" t="s">
        <v>199</v>
      </c>
      <c r="G32" s="164">
        <f>'Исходные данные'!C34</f>
        <v>0</v>
      </c>
      <c r="H32" s="165">
        <f>'Исходные данные'!D34</f>
        <v>0</v>
      </c>
      <c r="I32" s="166">
        <f>'Расчет КРП'!G30</f>
        <v>0</v>
      </c>
      <c r="J32" s="167" t="s">
        <v>199</v>
      </c>
      <c r="K32" s="168"/>
      <c r="L32" s="169">
        <f t="shared" si="7"/>
        <v>0</v>
      </c>
      <c r="M32" s="170"/>
      <c r="N32" s="171" t="s">
        <v>199</v>
      </c>
      <c r="O32" s="172"/>
      <c r="P32" s="133">
        <f t="shared" si="10"/>
        <v>0</v>
      </c>
      <c r="Q32" s="173">
        <f t="shared" si="11"/>
        <v>0</v>
      </c>
      <c r="R32" s="174" t="s">
        <v>199</v>
      </c>
      <c r="S32" s="171" t="s">
        <v>199</v>
      </c>
      <c r="T32" s="175"/>
      <c r="U32" s="172"/>
      <c r="V32" s="133">
        <f t="shared" si="14"/>
        <v>0</v>
      </c>
      <c r="W32" s="173">
        <f t="shared" si="15"/>
        <v>0</v>
      </c>
      <c r="X32" s="29" t="s">
        <v>199</v>
      </c>
      <c r="Y32" s="171" t="s">
        <v>199</v>
      </c>
      <c r="Z32" s="175"/>
      <c r="AA32" s="172"/>
      <c r="AB32" s="133"/>
      <c r="AC32" s="173">
        <f t="shared" si="19"/>
        <v>0</v>
      </c>
      <c r="AD32" s="29" t="s">
        <v>199</v>
      </c>
      <c r="AE32" s="171" t="s">
        <v>199</v>
      </c>
      <c r="AF32" s="175"/>
      <c r="AG32" s="172"/>
      <c r="AH32" s="133"/>
      <c r="AI32" s="173">
        <f t="shared" si="23"/>
        <v>0</v>
      </c>
      <c r="AJ32" s="29" t="s">
        <v>199</v>
      </c>
      <c r="AK32" s="171" t="s">
        <v>199</v>
      </c>
      <c r="AL32" s="175"/>
      <c r="AM32" s="172"/>
      <c r="AN32" s="133"/>
      <c r="AO32" s="173">
        <f t="shared" si="27"/>
        <v>0</v>
      </c>
      <c r="AP32" s="29" t="s">
        <v>199</v>
      </c>
      <c r="AQ32" s="171" t="s">
        <v>199</v>
      </c>
      <c r="AR32" s="175"/>
      <c r="AS32" s="172"/>
      <c r="AT32" s="133"/>
      <c r="AU32" s="173">
        <f t="shared" si="31"/>
        <v>0</v>
      </c>
      <c r="AV32" s="29" t="s">
        <v>199</v>
      </c>
      <c r="AW32" s="171" t="s">
        <v>199</v>
      </c>
      <c r="AX32" s="175"/>
      <c r="AY32" s="172"/>
      <c r="AZ32" s="133"/>
      <c r="BA32" s="173">
        <f t="shared" si="35"/>
        <v>0</v>
      </c>
      <c r="BB32" s="29" t="s">
        <v>199</v>
      </c>
      <c r="BC32" s="171" t="s">
        <v>199</v>
      </c>
      <c r="BD32" s="175"/>
      <c r="BE32" s="172"/>
      <c r="BF32" s="133"/>
      <c r="BG32" s="173">
        <f t="shared" si="39"/>
        <v>0</v>
      </c>
      <c r="BH32" s="29" t="s">
        <v>199</v>
      </c>
      <c r="BI32" s="171" t="s">
        <v>199</v>
      </c>
      <c r="BJ32" s="175"/>
      <c r="BK32" s="172"/>
      <c r="BL32" s="133"/>
      <c r="BM32" s="173">
        <f t="shared" si="43"/>
        <v>0</v>
      </c>
      <c r="BN32" s="29" t="s">
        <v>199</v>
      </c>
      <c r="BO32" s="171" t="s">
        <v>199</v>
      </c>
      <c r="BP32" s="175"/>
      <c r="BQ32" s="172"/>
      <c r="BR32" s="133"/>
      <c r="BS32" s="176">
        <f t="shared" si="47"/>
        <v>0</v>
      </c>
      <c r="BT32" s="29" t="s">
        <v>199</v>
      </c>
      <c r="BU32" s="171" t="s">
        <v>199</v>
      </c>
      <c r="BV32" s="175"/>
      <c r="BW32" s="172"/>
      <c r="BX32" s="133"/>
      <c r="BY32" s="176">
        <f t="shared" si="51"/>
        <v>0</v>
      </c>
      <c r="BZ32" s="29" t="s">
        <v>199</v>
      </c>
      <c r="CA32" s="171" t="s">
        <v>199</v>
      </c>
      <c r="CB32" s="175"/>
      <c r="CC32" s="172"/>
      <c r="CD32" s="133"/>
      <c r="CE32" s="176">
        <f t="shared" si="55"/>
        <v>0</v>
      </c>
      <c r="CF32" s="29" t="s">
        <v>199</v>
      </c>
      <c r="CG32" s="171" t="s">
        <v>199</v>
      </c>
      <c r="CH32" s="175"/>
      <c r="CI32" s="172"/>
      <c r="CJ32" s="133"/>
      <c r="CK32" s="176">
        <f t="shared" si="59"/>
        <v>0</v>
      </c>
      <c r="CL32" s="29" t="s">
        <v>199</v>
      </c>
      <c r="CM32" s="171" t="s">
        <v>199</v>
      </c>
      <c r="CN32" s="175"/>
      <c r="CO32" s="172"/>
      <c r="CP32" s="133"/>
      <c r="CQ32" s="176">
        <f t="shared" si="63"/>
        <v>0</v>
      </c>
      <c r="CR32" s="29" t="s">
        <v>199</v>
      </c>
      <c r="CS32" s="171" t="s">
        <v>199</v>
      </c>
      <c r="CT32" s="175"/>
      <c r="CU32" s="172"/>
      <c r="CV32" s="133"/>
      <c r="CW32" s="176">
        <f t="shared" si="67"/>
        <v>0</v>
      </c>
      <c r="CX32" s="29" t="s">
        <v>199</v>
      </c>
      <c r="CY32" s="171" t="s">
        <v>199</v>
      </c>
      <c r="CZ32" s="175"/>
      <c r="DA32" s="172"/>
      <c r="DB32" s="133"/>
      <c r="DC32" s="176">
        <f t="shared" si="71"/>
        <v>0</v>
      </c>
      <c r="DD32" s="29" t="s">
        <v>199</v>
      </c>
      <c r="DE32" s="171" t="s">
        <v>199</v>
      </c>
      <c r="DF32" s="175"/>
      <c r="DG32" s="172"/>
      <c r="DH32" s="133"/>
      <c r="DI32" s="176">
        <f t="shared" si="75"/>
        <v>0</v>
      </c>
      <c r="DJ32" s="29" t="s">
        <v>199</v>
      </c>
      <c r="DK32" s="171" t="s">
        <v>199</v>
      </c>
      <c r="DL32" s="175"/>
      <c r="DM32" s="172"/>
      <c r="DN32" s="133"/>
      <c r="DO32" s="176">
        <f t="shared" si="79"/>
        <v>0</v>
      </c>
      <c r="DP32" s="29" t="s">
        <v>199</v>
      </c>
      <c r="DQ32" s="171" t="s">
        <v>199</v>
      </c>
      <c r="DR32" s="175"/>
      <c r="DS32" s="172"/>
      <c r="DT32" s="133"/>
      <c r="DU32" s="176">
        <f t="shared" si="83"/>
        <v>0</v>
      </c>
      <c r="DV32" s="29" t="s">
        <v>199</v>
      </c>
      <c r="DW32" s="171" t="s">
        <v>199</v>
      </c>
      <c r="DX32" s="131"/>
      <c r="DY32" s="172"/>
      <c r="DZ32" s="138"/>
      <c r="EA32" s="173">
        <f t="shared" si="87"/>
        <v>0</v>
      </c>
      <c r="EB32" s="29" t="s">
        <v>199</v>
      </c>
      <c r="EC32" s="171" t="s">
        <v>199</v>
      </c>
      <c r="ED32" s="139"/>
      <c r="EE32" s="172"/>
      <c r="EF32" s="138"/>
      <c r="EG32" s="173">
        <f t="shared" si="91"/>
        <v>0</v>
      </c>
      <c r="EH32" s="29" t="s">
        <v>199</v>
      </c>
      <c r="EI32" s="171" t="s">
        <v>199</v>
      </c>
      <c r="EJ32" s="139"/>
      <c r="EK32" s="172"/>
      <c r="EL32" s="138"/>
      <c r="EM32" s="173">
        <f t="shared" si="95"/>
        <v>0</v>
      </c>
      <c r="EN32" s="29" t="s">
        <v>199</v>
      </c>
      <c r="EO32" s="171" t="s">
        <v>199</v>
      </c>
      <c r="EP32" s="139"/>
      <c r="EQ32" s="172"/>
      <c r="ER32" s="138">
        <f t="shared" si="98"/>
        <v>0</v>
      </c>
      <c r="ES32" s="173">
        <f t="shared" si="99"/>
        <v>0</v>
      </c>
      <c r="ET32" s="29" t="s">
        <v>199</v>
      </c>
      <c r="EU32" s="171" t="s">
        <v>199</v>
      </c>
      <c r="EV32" s="139"/>
      <c r="EW32" s="172"/>
      <c r="EX32" s="138"/>
      <c r="EY32" s="173">
        <f t="shared" si="103"/>
        <v>0</v>
      </c>
      <c r="EZ32" s="29" t="s">
        <v>199</v>
      </c>
      <c r="FA32" s="171" t="s">
        <v>199</v>
      </c>
      <c r="FB32" s="139"/>
      <c r="FC32" s="172"/>
      <c r="FD32" s="138"/>
      <c r="FE32" s="173">
        <f t="shared" si="107"/>
        <v>0</v>
      </c>
      <c r="FF32" s="29" t="s">
        <v>199</v>
      </c>
      <c r="FG32" s="171" t="s">
        <v>199</v>
      </c>
      <c r="FH32" s="139"/>
      <c r="FI32" s="172"/>
      <c r="FJ32" s="138"/>
      <c r="FK32" s="173">
        <f t="shared" si="111"/>
        <v>0</v>
      </c>
      <c r="FL32" s="29" t="s">
        <v>199</v>
      </c>
      <c r="FM32" s="171" t="s">
        <v>199</v>
      </c>
      <c r="FN32" s="139"/>
      <c r="FO32" s="172"/>
      <c r="FP32" s="138"/>
      <c r="FQ32" s="173">
        <f t="shared" si="115"/>
        <v>0</v>
      </c>
      <c r="FR32" s="29" t="s">
        <v>199</v>
      </c>
      <c r="FS32" s="171" t="s">
        <v>199</v>
      </c>
      <c r="FT32" s="139"/>
      <c r="FU32" s="172"/>
      <c r="FV32" s="138"/>
      <c r="FW32" s="173">
        <f t="shared" si="119"/>
        <v>0</v>
      </c>
      <c r="FX32" s="29" t="s">
        <v>199</v>
      </c>
      <c r="FY32" s="171" t="s">
        <v>199</v>
      </c>
      <c r="FZ32" s="139"/>
      <c r="GA32" s="172"/>
      <c r="GB32" s="138"/>
      <c r="GC32" s="173">
        <f t="shared" si="123"/>
        <v>0</v>
      </c>
      <c r="GD32" s="29" t="s">
        <v>199</v>
      </c>
      <c r="GE32" s="171" t="s">
        <v>199</v>
      </c>
      <c r="GF32" s="139"/>
      <c r="GG32" s="172"/>
      <c r="GH32" s="138"/>
      <c r="GI32" s="176">
        <f t="shared" si="127"/>
        <v>0</v>
      </c>
      <c r="GJ32" s="179">
        <f t="shared" si="128"/>
        <v>0</v>
      </c>
      <c r="GK32" s="180">
        <f t="shared" si="129"/>
        <v>0</v>
      </c>
      <c r="GL32" s="181"/>
      <c r="GM32" s="180" t="e">
        <f t="shared" si="131"/>
        <v>#VALUE!</v>
      </c>
    </row>
    <row r="33" spans="1:195" s="201" customFormat="1" x14ac:dyDescent="0.25">
      <c r="A33" s="182" t="s">
        <v>29</v>
      </c>
      <c r="B33" s="183">
        <v>26194212</v>
      </c>
      <c r="C33" s="184">
        <v>10</v>
      </c>
      <c r="D33" s="185">
        <f>B33*C33/100</f>
        <v>2619421.2000000002</v>
      </c>
      <c r="E33" s="186">
        <f>100-C33</f>
        <v>90</v>
      </c>
      <c r="F33" s="185">
        <f>B33-D33</f>
        <v>23574790.800000001</v>
      </c>
      <c r="G33" s="187">
        <f>SUM(G9:G32)</f>
        <v>12382</v>
      </c>
      <c r="H33" s="187">
        <f>SUM(H9:H32)</f>
        <v>13918990</v>
      </c>
      <c r="I33" s="188" t="s">
        <v>199</v>
      </c>
      <c r="J33" s="189">
        <f>H33/G33</f>
        <v>1124.1309966079793</v>
      </c>
      <c r="K33" s="190" t="s">
        <v>199</v>
      </c>
      <c r="L33" s="191">
        <f>SUM(L9:L32)</f>
        <v>2619421.1999999997</v>
      </c>
      <c r="M33" s="192" t="s">
        <v>199</v>
      </c>
      <c r="N33" s="193">
        <f>(SUMIF(M9:M32,"&lt;1")+1)/(COUNTIFS(M9:M32,"&lt;1")+1)</f>
        <v>0.17370342881802511</v>
      </c>
      <c r="O33" s="194" t="s">
        <v>199</v>
      </c>
      <c r="P33" s="195">
        <f>SUM(P9:P32)</f>
        <v>13600361.162863057</v>
      </c>
      <c r="Q33" s="195">
        <f>SUM(Q9:Q32)</f>
        <v>13600361.162863057</v>
      </c>
      <c r="R33" s="196">
        <f>F33-Q33</f>
        <v>9974429.6371369436</v>
      </c>
      <c r="S33" s="193">
        <f>(SUMIF(T9:T32,"&lt;1")+1)/(COUNTIFS(T9:T32,"&lt;1")+1)</f>
        <v>0.26006567660386876</v>
      </c>
      <c r="T33" s="194" t="s">
        <v>199</v>
      </c>
      <c r="U33" s="194" t="s">
        <v>199</v>
      </c>
      <c r="V33" s="195">
        <f>SUM(V9:V32)</f>
        <v>21586899.52821302</v>
      </c>
      <c r="W33" s="195">
        <f>SUM(W9:W32)</f>
        <v>9974429.6371369418</v>
      </c>
      <c r="X33" s="196">
        <f>R33-W33</f>
        <v>0</v>
      </c>
      <c r="Y33" s="193">
        <f>(SUMIF(Z9:Z32,"&lt;1")+1)/(COUNTIFS(Z9:Z32,"&lt;1")+1)</f>
        <v>0.32175749389633812</v>
      </c>
      <c r="Z33" s="194" t="s">
        <v>199</v>
      </c>
      <c r="AA33" s="194" t="s">
        <v>199</v>
      </c>
      <c r="AB33" s="195">
        <f>SUM(AB9:AB32)</f>
        <v>27405125.022709601</v>
      </c>
      <c r="AC33" s="195">
        <f>SUM(AC9:AC32)</f>
        <v>0</v>
      </c>
      <c r="AD33" s="196">
        <f>X33-AC33</f>
        <v>0</v>
      </c>
      <c r="AE33" s="193">
        <f>(SUMIF(AF9:AF32,"&lt;1")+1)/(COUNTIFS(AF9:AF32,"&lt;1")+1)</f>
        <v>0.32175749389633812</v>
      </c>
      <c r="AF33" s="194" t="s">
        <v>199</v>
      </c>
      <c r="AG33" s="194" t="s">
        <v>199</v>
      </c>
      <c r="AH33" s="195">
        <f>SUM(AH9:AH32)</f>
        <v>27405125.022709601</v>
      </c>
      <c r="AI33" s="195">
        <f>SUM(AI9:AI32)</f>
        <v>0</v>
      </c>
      <c r="AJ33" s="196">
        <f>AD33-AI33</f>
        <v>0</v>
      </c>
      <c r="AK33" s="193">
        <f>(SUMIF(AL9:AL32,"&lt;1")+1)/(COUNTIFS(AL9:AL32,"&lt;1")+1)</f>
        <v>0.32175749389633812</v>
      </c>
      <c r="AL33" s="194" t="s">
        <v>199</v>
      </c>
      <c r="AM33" s="194" t="s">
        <v>199</v>
      </c>
      <c r="AN33" s="195">
        <f>SUM(AN9:AN32)</f>
        <v>27405125.022709601</v>
      </c>
      <c r="AO33" s="195">
        <f>SUM(AO9:AO32)</f>
        <v>0</v>
      </c>
      <c r="AP33" s="196">
        <f>AJ33-AO33</f>
        <v>0</v>
      </c>
      <c r="AQ33" s="193">
        <f>(SUMIF(AR9:AR32,"&lt;1")+1)/(COUNTIFS(AR9:AR32,"&lt;1")+1)</f>
        <v>0.32175749389633812</v>
      </c>
      <c r="AR33" s="194" t="s">
        <v>199</v>
      </c>
      <c r="AS33" s="194" t="s">
        <v>199</v>
      </c>
      <c r="AT33" s="195">
        <f>SUM(AT9:AT32)</f>
        <v>27405125.022709601</v>
      </c>
      <c r="AU33" s="185">
        <f>SUM(AU9:AU32)</f>
        <v>0</v>
      </c>
      <c r="AV33" s="196">
        <f>AP33-AU33</f>
        <v>0</v>
      </c>
      <c r="AW33" s="193">
        <f>(SUMIF(AX9:AX32,"&lt;1")+1)/(COUNTIFS(AX9:AX32,"&lt;1")+1)</f>
        <v>0.32175749389633812</v>
      </c>
      <c r="AX33" s="194" t="s">
        <v>199</v>
      </c>
      <c r="AY33" s="194" t="s">
        <v>199</v>
      </c>
      <c r="AZ33" s="195">
        <f>SUM(AZ9:AZ32)</f>
        <v>27405125.022709601</v>
      </c>
      <c r="BA33" s="195">
        <f>SUM(BA9:BA32)</f>
        <v>0</v>
      </c>
      <c r="BB33" s="196">
        <f>AV33-BA33</f>
        <v>0</v>
      </c>
      <c r="BC33" s="193">
        <f>(SUMIF(BD9:BD32,"&lt;1")+1)/(COUNTIFS(BD9:BD32,"&lt;1")+1)</f>
        <v>0.32175749389633812</v>
      </c>
      <c r="BD33" s="194" t="s">
        <v>199</v>
      </c>
      <c r="BE33" s="194" t="s">
        <v>199</v>
      </c>
      <c r="BF33" s="195">
        <f>SUM(BF9:BF32)</f>
        <v>27405125.022709601</v>
      </c>
      <c r="BG33" s="195">
        <f>SUM(BG9:BG32)</f>
        <v>0</v>
      </c>
      <c r="BH33" s="196">
        <f>BB33-BG33</f>
        <v>0</v>
      </c>
      <c r="BI33" s="193">
        <f>(SUMIF(BJ9:BJ32,"&lt;1")+1)/(COUNTIFS(BJ9:BJ32,"&lt;1")+1)</f>
        <v>0.32175749389633812</v>
      </c>
      <c r="BJ33" s="194" t="s">
        <v>199</v>
      </c>
      <c r="BK33" s="194" t="s">
        <v>199</v>
      </c>
      <c r="BL33" s="195">
        <f>SUM(BL9:BL32)</f>
        <v>27405125.022709601</v>
      </c>
      <c r="BM33" s="195">
        <f>SUM(BM9:BM32)</f>
        <v>0</v>
      </c>
      <c r="BN33" s="196">
        <f>BH33-BM33</f>
        <v>0</v>
      </c>
      <c r="BO33" s="193">
        <f>(SUMIF(BP9:BP32,"&lt;1")+1)/(COUNTIFS(BP9:BP32,"&lt;1")+1)</f>
        <v>0.32175749389633812</v>
      </c>
      <c r="BP33" s="194" t="s">
        <v>199</v>
      </c>
      <c r="BQ33" s="194" t="s">
        <v>199</v>
      </c>
      <c r="BR33" s="195">
        <f>SUM(BR9:BR32)</f>
        <v>27405125.022709601</v>
      </c>
      <c r="BS33" s="195">
        <f>SUM(BS9:BS32)</f>
        <v>0</v>
      </c>
      <c r="BT33" s="196">
        <f>BN33-BS33</f>
        <v>0</v>
      </c>
      <c r="BU33" s="193">
        <f>(SUMIF(BV9:BV32,"&lt;1")+1)/(COUNTIFS(BV9:BV32,"&lt;1")+1)</f>
        <v>0.32175749389633812</v>
      </c>
      <c r="BV33" s="194" t="s">
        <v>199</v>
      </c>
      <c r="BW33" s="194" t="s">
        <v>199</v>
      </c>
      <c r="BX33" s="195">
        <f>SUM(BX9:BX32)</f>
        <v>27405125.022709601</v>
      </c>
      <c r="BY33" s="195">
        <f>SUM(BY9:BY32)</f>
        <v>0</v>
      </c>
      <c r="BZ33" s="196">
        <f>BT33-BY33</f>
        <v>0</v>
      </c>
      <c r="CA33" s="193">
        <f>(SUMIF(CB9:CB32,"&lt;1")+1)/(COUNTIFS(CB9:CB32,"&lt;1")+1)</f>
        <v>0.32175749389633812</v>
      </c>
      <c r="CB33" s="194" t="s">
        <v>199</v>
      </c>
      <c r="CC33" s="194" t="s">
        <v>199</v>
      </c>
      <c r="CD33" s="195">
        <f>SUM(CD9:CD32)</f>
        <v>27405125.022709601</v>
      </c>
      <c r="CE33" s="195">
        <f>SUM(CE9:CE32)</f>
        <v>0</v>
      </c>
      <c r="CF33" s="196">
        <f>BZ33-CE33</f>
        <v>0</v>
      </c>
      <c r="CG33" s="193">
        <f>(SUMIF(CH9:CH32,"&lt;1")+1)/(COUNTIFS(CH9:CH32,"&lt;1")+1)</f>
        <v>0.32175749389633812</v>
      </c>
      <c r="CH33" s="194" t="s">
        <v>199</v>
      </c>
      <c r="CI33" s="194" t="s">
        <v>199</v>
      </c>
      <c r="CJ33" s="195">
        <f>SUM(CJ9:CJ32)</f>
        <v>27405125.022709601</v>
      </c>
      <c r="CK33" s="195">
        <f>SUM(CK9:CK32)</f>
        <v>0</v>
      </c>
      <c r="CL33" s="196">
        <f>CF33-CK33</f>
        <v>0</v>
      </c>
      <c r="CM33" s="193">
        <f>(SUMIF(CN9:CN32,"&lt;1")+1)/(COUNTIFS(CN9:CN32,"&lt;1")+1)</f>
        <v>0.32175749389633812</v>
      </c>
      <c r="CN33" s="194" t="s">
        <v>199</v>
      </c>
      <c r="CO33" s="194" t="s">
        <v>199</v>
      </c>
      <c r="CP33" s="195">
        <f>SUM(CP9:CP32)</f>
        <v>27405125.022709601</v>
      </c>
      <c r="CQ33" s="195">
        <f>SUM(CQ9:CQ32)</f>
        <v>0</v>
      </c>
      <c r="CR33" s="196">
        <f>CL33-CQ33</f>
        <v>0</v>
      </c>
      <c r="CS33" s="193">
        <f>(SUMIF(CT9:CT32,"&lt;1")+1)/(COUNTIFS(CT9:CT32,"&lt;1")+1)</f>
        <v>0.32175749389633812</v>
      </c>
      <c r="CT33" s="194" t="s">
        <v>199</v>
      </c>
      <c r="CU33" s="194" t="s">
        <v>199</v>
      </c>
      <c r="CV33" s="195">
        <f>SUM(CV9:CV32)</f>
        <v>27405125.022709601</v>
      </c>
      <c r="CW33" s="195">
        <f>SUM(CW9:CW32)</f>
        <v>0</v>
      </c>
      <c r="CX33" s="196">
        <f>CR33-CW33</f>
        <v>0</v>
      </c>
      <c r="CY33" s="193">
        <f>(SUMIF(CZ9:CZ32,"&lt;1")+1)/(COUNTIFS(CZ9:CZ32,"&lt;1")+1)</f>
        <v>0.32175749389633812</v>
      </c>
      <c r="CZ33" s="194" t="s">
        <v>199</v>
      </c>
      <c r="DA33" s="194" t="s">
        <v>199</v>
      </c>
      <c r="DB33" s="195">
        <f>SUM(DB9:DB32)</f>
        <v>27405125.022709601</v>
      </c>
      <c r="DC33" s="195">
        <f>SUM(DC9:DC32)</f>
        <v>0</v>
      </c>
      <c r="DD33" s="196">
        <f>CX33-DC33</f>
        <v>0</v>
      </c>
      <c r="DE33" s="193">
        <f>(SUMIF(DF9:DF32,"&lt;1")+1)/(COUNTIFS(DF9:DF32,"&lt;1")+1)</f>
        <v>0.32175749389633812</v>
      </c>
      <c r="DF33" s="194" t="s">
        <v>199</v>
      </c>
      <c r="DG33" s="194" t="s">
        <v>199</v>
      </c>
      <c r="DH33" s="195">
        <f>SUM(DH9:DH32)</f>
        <v>27405125.022709601</v>
      </c>
      <c r="DI33" s="195">
        <f>SUM(DI9:DI32)</f>
        <v>0</v>
      </c>
      <c r="DJ33" s="196">
        <f>DD33-DI33</f>
        <v>0</v>
      </c>
      <c r="DK33" s="193">
        <f>(SUMIF(DL9:DL32,"&lt;1")+1)/(COUNTIFS(DL9:DL32,"&lt;1")+1)</f>
        <v>0.32175749389633812</v>
      </c>
      <c r="DL33" s="194" t="s">
        <v>199</v>
      </c>
      <c r="DM33" s="194" t="s">
        <v>199</v>
      </c>
      <c r="DN33" s="195">
        <f>SUM(DN9:DN32)</f>
        <v>27405125.022709601</v>
      </c>
      <c r="DO33" s="195">
        <f>SUM(DO9:DO32)</f>
        <v>0</v>
      </c>
      <c r="DP33" s="196">
        <f>DJ33-DO33</f>
        <v>0</v>
      </c>
      <c r="DQ33" s="193">
        <f>(SUMIF(DR9:DR32,"&lt;1")+1)/(COUNTIFS(DR9:DR32,"&lt;1")+1)</f>
        <v>0.32175749389633812</v>
      </c>
      <c r="DR33" s="194" t="s">
        <v>199</v>
      </c>
      <c r="DS33" s="194" t="s">
        <v>199</v>
      </c>
      <c r="DT33" s="195">
        <f>SUM(DT9:DT32)</f>
        <v>27405125.022709601</v>
      </c>
      <c r="DU33" s="195">
        <f>SUM(DU9:DU32)</f>
        <v>0</v>
      </c>
      <c r="DV33" s="196">
        <f>DP33-DU33</f>
        <v>0</v>
      </c>
      <c r="DW33" s="193">
        <f>(SUMIF(DX9:DX32,"&lt;1")+1)/(COUNTIFS(DX9:DX32,"&lt;1")+1)</f>
        <v>0.32175749389633812</v>
      </c>
      <c r="DX33" s="194" t="s">
        <v>199</v>
      </c>
      <c r="DY33" s="194" t="s">
        <v>199</v>
      </c>
      <c r="DZ33" s="197">
        <f>SUM(DZ9:DZ32)</f>
        <v>27405125.022709601</v>
      </c>
      <c r="EA33" s="195">
        <f>SUM(EA9:EA32)</f>
        <v>0</v>
      </c>
      <c r="EB33" s="196">
        <f>DV33-EA33</f>
        <v>0</v>
      </c>
      <c r="EC33" s="193">
        <f>(SUMIF(ED9:ED32,"&lt;1")+1)/(COUNTIFS(ED9:ED32,"&lt;1")+1)</f>
        <v>0.32175749389633812</v>
      </c>
      <c r="ED33" s="194" t="s">
        <v>199</v>
      </c>
      <c r="EE33" s="194" t="s">
        <v>199</v>
      </c>
      <c r="EF33" s="197">
        <f>SUM(EF9:EF32)</f>
        <v>27405125.022709601</v>
      </c>
      <c r="EG33" s="195">
        <f>SUM(EG9:EG32)</f>
        <v>0</v>
      </c>
      <c r="EH33" s="196">
        <f>EB33-EG33</f>
        <v>0</v>
      </c>
      <c r="EI33" s="193">
        <f>(SUMIF(EJ9:EJ32,"&lt;1")+1)/(COUNTIFS(EJ9:EJ32,"&lt;1")+1)</f>
        <v>0.32175749389633812</v>
      </c>
      <c r="EJ33" s="194" t="s">
        <v>199</v>
      </c>
      <c r="EK33" s="194" t="s">
        <v>199</v>
      </c>
      <c r="EL33" s="197">
        <f>SUM(EL9:EL32)</f>
        <v>27405125.022709601</v>
      </c>
      <c r="EM33" s="195">
        <f>SUM(EM9:EM32)</f>
        <v>0</v>
      </c>
      <c r="EN33" s="196">
        <f>EH33-EM33</f>
        <v>0</v>
      </c>
      <c r="EO33" s="193">
        <f>(SUMIF(EP9:EP32,"&lt;1")+1)/(COUNTIFS(EP9:EP32,"&lt;1")+1)</f>
        <v>0.32175749389633812</v>
      </c>
      <c r="EP33" s="194" t="s">
        <v>199</v>
      </c>
      <c r="EQ33" s="194" t="s">
        <v>199</v>
      </c>
      <c r="ER33" s="197">
        <f>SUM(ER9:ER32)</f>
        <v>27405125.022709601</v>
      </c>
      <c r="ES33" s="195">
        <f>SUM(ES9:ES32)</f>
        <v>0</v>
      </c>
      <c r="ET33" s="196">
        <f>EN33-ES33</f>
        <v>0</v>
      </c>
      <c r="EU33" s="193">
        <f>(SUMIF(EV9:EV32,"&lt;1")+1)/(COUNTIFS(EV9:EV32,"&lt;1")+1)</f>
        <v>0.32175749389633812</v>
      </c>
      <c r="EV33" s="194" t="s">
        <v>199</v>
      </c>
      <c r="EW33" s="194" t="s">
        <v>199</v>
      </c>
      <c r="EX33" s="197">
        <f>SUM(EX9:EX32)</f>
        <v>27405125.022709601</v>
      </c>
      <c r="EY33" s="195">
        <f>SUM(EY9:EY32)</f>
        <v>0</v>
      </c>
      <c r="EZ33" s="196">
        <f>ET33-EY33</f>
        <v>0</v>
      </c>
      <c r="FA33" s="193">
        <f>(SUMIF(FB9:FB32,"&lt;1")+1)/(COUNTIFS(FB9:FB32,"&lt;1")+1)</f>
        <v>0.32175749389633812</v>
      </c>
      <c r="FB33" s="194" t="s">
        <v>199</v>
      </c>
      <c r="FC33" s="194" t="s">
        <v>199</v>
      </c>
      <c r="FD33" s="197">
        <f>SUM(FD9:FD32)</f>
        <v>27405125.022709601</v>
      </c>
      <c r="FE33" s="195">
        <f>SUM(FE9:FE32)</f>
        <v>0</v>
      </c>
      <c r="FF33" s="196">
        <f>EZ33-FE33</f>
        <v>0</v>
      </c>
      <c r="FG33" s="193">
        <f>(SUMIF(FH9:FH32,"&lt;1")+1)/(COUNTIFS(FH9:FH32,"&lt;1")+1)</f>
        <v>0.32175749389633812</v>
      </c>
      <c r="FH33" s="194" t="s">
        <v>199</v>
      </c>
      <c r="FI33" s="194" t="s">
        <v>199</v>
      </c>
      <c r="FJ33" s="197">
        <f>SUM(FJ9:FJ32)</f>
        <v>27405125.022709601</v>
      </c>
      <c r="FK33" s="195">
        <f>SUM(FK9:FK32)</f>
        <v>0</v>
      </c>
      <c r="FL33" s="196">
        <f>FF33-FK33</f>
        <v>0</v>
      </c>
      <c r="FM33" s="193">
        <f>(SUMIF(FN9:FN32,"&lt;1")+1)/(COUNTIFS(FN9:FN32,"&lt;1")+1)</f>
        <v>0.32175749389633812</v>
      </c>
      <c r="FN33" s="194" t="s">
        <v>199</v>
      </c>
      <c r="FO33" s="194" t="s">
        <v>199</v>
      </c>
      <c r="FP33" s="197">
        <f>SUM(FP9:FP32)</f>
        <v>27405125.022709601</v>
      </c>
      <c r="FQ33" s="195">
        <f>SUM(FQ9:FQ32)</f>
        <v>0</v>
      </c>
      <c r="FR33" s="196">
        <f>FL33-FQ33</f>
        <v>0</v>
      </c>
      <c r="FS33" s="193">
        <f>(SUMIF(FT9:FT32,"&lt;1")+1)/(COUNTIFS(FT9:FT32,"&lt;1")+1)</f>
        <v>0.32175749389633812</v>
      </c>
      <c r="FT33" s="194" t="s">
        <v>199</v>
      </c>
      <c r="FU33" s="194" t="s">
        <v>199</v>
      </c>
      <c r="FV33" s="197">
        <f>SUM(FV9:FV32)</f>
        <v>27405125.022709601</v>
      </c>
      <c r="FW33" s="195">
        <f>SUM(FW9:FW32)</f>
        <v>0</v>
      </c>
      <c r="FX33" s="196">
        <f>FR33-FW33</f>
        <v>0</v>
      </c>
      <c r="FY33" s="193">
        <f>(SUMIF(FZ9:FZ32,"&lt;1")+1)/(COUNTIFS(FZ9:FZ32,"&lt;1")+1)</f>
        <v>0.32175749389633812</v>
      </c>
      <c r="FZ33" s="194" t="s">
        <v>199</v>
      </c>
      <c r="GA33" s="194" t="s">
        <v>199</v>
      </c>
      <c r="GB33" s="197">
        <f>SUM(GB9:GB32)</f>
        <v>27405125.022709601</v>
      </c>
      <c r="GC33" s="195">
        <f>SUM(GC9:GC32)</f>
        <v>0</v>
      </c>
      <c r="GD33" s="196">
        <f>FX33-GC33</f>
        <v>0</v>
      </c>
      <c r="GE33" s="193">
        <f>(SUMIF(GF9:GF32,"&lt;1")+1)/(COUNTIFS(GF9:GF32,"&lt;1")+1)</f>
        <v>0.32175749389633812</v>
      </c>
      <c r="GF33" s="194" t="s">
        <v>199</v>
      </c>
      <c r="GG33" s="194" t="s">
        <v>199</v>
      </c>
      <c r="GH33" s="197">
        <f>SUM(GH9:GH32)</f>
        <v>27405125.022709601</v>
      </c>
      <c r="GI33" s="195">
        <f>SUM(GI9:GI32)</f>
        <v>0</v>
      </c>
      <c r="GJ33" s="198">
        <f>SUM(GJ9:GJ32)</f>
        <v>23574790.799999997</v>
      </c>
      <c r="GK33" s="199">
        <f t="shared" si="129"/>
        <v>26194211.999999996</v>
      </c>
      <c r="GL33" s="200" t="s">
        <v>199</v>
      </c>
      <c r="GM33" s="199">
        <f>GM19+GM18+GM17+GM16+GM15+GM14+GM13+GM12+GM11+GM10+GM9</f>
        <v>26194212.002999999</v>
      </c>
    </row>
    <row r="35" spans="1:195" x14ac:dyDescent="0.2">
      <c r="P35" s="202"/>
    </row>
    <row r="37" spans="1:195" x14ac:dyDescent="0.2">
      <c r="GJ37" s="203"/>
      <c r="GK37" s="203"/>
    </row>
    <row r="38" spans="1:195" x14ac:dyDescent="0.2">
      <c r="M38" s="204"/>
    </row>
  </sheetData>
  <mergeCells count="49">
    <mergeCell ref="A3:A6"/>
    <mergeCell ref="B3:B5"/>
    <mergeCell ref="C3:F3"/>
    <mergeCell ref="G3:J3"/>
    <mergeCell ref="K3:K5"/>
    <mergeCell ref="C4:D4"/>
    <mergeCell ref="E4:F4"/>
    <mergeCell ref="G4:G5"/>
    <mergeCell ref="H4:H5"/>
    <mergeCell ref="I4:I5"/>
    <mergeCell ref="J4:J5"/>
    <mergeCell ref="C5:D5"/>
    <mergeCell ref="E5:F5"/>
    <mergeCell ref="M3:BS3"/>
    <mergeCell ref="GJ3:GJ5"/>
    <mergeCell ref="GK3:GK5"/>
    <mergeCell ref="GL3:GL5"/>
    <mergeCell ref="GM3:GM5"/>
    <mergeCell ref="AJ4:AO4"/>
    <mergeCell ref="AP4:AU4"/>
    <mergeCell ref="AV4:BA4"/>
    <mergeCell ref="BB4:BG4"/>
    <mergeCell ref="BH4:BM4"/>
    <mergeCell ref="BN4:BS4"/>
    <mergeCell ref="BT4:BY4"/>
    <mergeCell ref="BZ4:CE4"/>
    <mergeCell ref="CF4:CK4"/>
    <mergeCell ref="CL4:CQ4"/>
    <mergeCell ref="CR4:CW4"/>
    <mergeCell ref="L4:L5"/>
    <mergeCell ref="M4:Q4"/>
    <mergeCell ref="R4:W4"/>
    <mergeCell ref="X4:AC4"/>
    <mergeCell ref="AD4:AI4"/>
    <mergeCell ref="CX4:DC4"/>
    <mergeCell ref="DD4:DI4"/>
    <mergeCell ref="DJ4:DO4"/>
    <mergeCell ref="DP4:DU4"/>
    <mergeCell ref="DV4:EA4"/>
    <mergeCell ref="EB4:EG4"/>
    <mergeCell ref="EH4:EM4"/>
    <mergeCell ref="EN4:ES4"/>
    <mergeCell ref="ET4:EY4"/>
    <mergeCell ref="EZ4:FE4"/>
    <mergeCell ref="FF4:FK4"/>
    <mergeCell ref="FL4:FQ4"/>
    <mergeCell ref="FR4:FW4"/>
    <mergeCell ref="FX4:GC4"/>
    <mergeCell ref="GD4:GI4"/>
  </mergeCells>
  <printOptions horizontalCentered="1"/>
  <pageMargins left="0.27559055118110237" right="0.15748031496062992" top="0.78740157480314965" bottom="0.15748031496062992" header="0.51181102362204722" footer="0.51181102362204722"/>
  <pageSetup paperSize="9" scale="55" pageOrder="overThenDown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Исходные данные</vt:lpstr>
      <vt:lpstr>Расчет КРП</vt:lpstr>
      <vt:lpstr>Расчет дотации</vt:lpstr>
      <vt:lpstr>'Исходные данные'!Заголовки_для_печати</vt:lpstr>
      <vt:lpstr>'Расчет дотации'!Заголовки_для_печати</vt:lpstr>
      <vt:lpstr>'Исходные данные'!Область_печати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Nezevak Незевак В В</dc:creator>
  <dc:description/>
  <cp:lastModifiedBy>User</cp:lastModifiedBy>
  <cp:revision>2</cp:revision>
  <cp:lastPrinted>2023-11-10T06:34:58Z</cp:lastPrinted>
  <dcterms:created xsi:type="dcterms:W3CDTF">2013-11-15T09:40:24Z</dcterms:created>
  <dcterms:modified xsi:type="dcterms:W3CDTF">2023-11-10T06:48:08Z</dcterms:modified>
  <dc:language>ru-RU</dc:language>
</cp:coreProperties>
</file>